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C7nwzXWPU4IiFemgTTqpvPpex7FypE4BMIwj3pmt+j2WD0uHavKmxX+LXfhS0KZmRjVgeqDDnZIEHaf6BSyi4g==" workbookSaltValue="/RtRrc2tLPQKHwsUFXAM/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BE12" i="21"/>
  <c r="EQ19" i="8"/>
  <c r="EN19" i="8"/>
  <c r="E15" i="3"/>
  <c r="BA13" i="16"/>
  <c r="E17" i="3"/>
  <c r="ES19" i="8"/>
  <c r="G18" i="12"/>
  <c r="C18" i="7"/>
  <c r="W19" i="8"/>
  <c r="R19" i="8"/>
  <c r="F17" i="16"/>
  <c r="BL17" i="16" s="1"/>
  <c r="EP19" i="8"/>
  <c r="EP19" i="19"/>
  <c r="S13" i="16"/>
  <c r="P13" i="16"/>
  <c r="W13" i="20"/>
  <c r="AO12" i="11"/>
  <c r="H13" i="12"/>
  <c r="F13" i="7"/>
  <c r="AJ19" i="8"/>
  <c r="T13" i="16"/>
  <c r="BG15" i="8"/>
  <c r="BD9" i="8"/>
  <c r="AP13" i="16"/>
  <c r="F11" i="11"/>
  <c r="AQ11" i="11" s="1"/>
  <c r="T18" i="17"/>
  <c r="BF15" i="13"/>
  <c r="BE16" i="13"/>
  <c r="BF16" i="13"/>
  <c r="H20" i="20"/>
  <c r="AK20" i="20"/>
  <c r="T20" i="20"/>
  <c r="O16" i="11"/>
  <c r="Z20" i="20"/>
  <c r="G18" i="14"/>
  <c r="BM18" i="16" l="1"/>
  <c r="AV18" i="21"/>
  <c r="D13" i="7"/>
  <c r="I19" i="8"/>
  <c r="AY13" i="8"/>
  <c r="B12" i="6"/>
  <c r="E10" i="6"/>
  <c r="M18" i="2"/>
  <c r="L11" i="14"/>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AO17" i="17" l="1"/>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<sst xmlns="http://schemas.openxmlformats.org/spreadsheetml/2006/main" count="2094" uniqueCount="914">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</sst>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QuINADJ5LyaijG4gGYBnYT9ixhi10KsumJ81OtMECPD1Yb0Eo7WBhZLuto5SHVGbwE2nMXmkJxsTUBr7u+2ZA==" saltValue="Ik3iKgIxrZPJFQsSsndS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18</v>
      </c>
      <c r="D10" s="225">
        <f>IF(ISNUMBER(Datos!I10),Datos!I10," - ")</f>
        <v>18</v>
      </c>
      <c r="E10" s="226">
        <f>IF(ISNUMBER(Datos!J10),Datos!J10," - ")</f>
        <v>12</v>
      </c>
      <c r="F10" s="226">
        <f>IF(ISNUMBER(Datos!K10),Datos!K10," - ")</f>
        <v>2</v>
      </c>
      <c r="G10" s="1034" t="str">
        <f>IF(Datos!E10&lt;&gt;"",Datos!E10,Datos!D10)</f>
        <v>37</v>
      </c>
      <c r="H10" s="227">
        <f>IF(ISNUMBER(Datos!L10),Datos!L10," - ")</f>
        <v>28</v>
      </c>
      <c r="I10" s="1044" t="str">
        <f>IF(ISNUMBER(Datos!AS10/Datos!BM10),Datos!AS10/Datos!BM10," - ")</f>
        <v xml:space="preserve"> - </v>
      </c>
      <c r="J10" s="1045">
        <f>IF(ISNUMBER(Datos!BY10/Datos!CN10),Datos!BY10/Datos!CN10," - ")</f>
        <v>0</v>
      </c>
      <c r="K10" s="230">
        <f t="shared" ref="K10:K12" si="1">IF(ISNUMBER((E10-F10)/C10),(E10-F10)/C10," - ")</f>
        <v>0.55555555555555558</v>
      </c>
      <c r="L10" s="1025">
        <f>IF(ISNUMBER(NºAsuntos!I10/NºAsuntos!G10),(NºAsuntos!I10/NºAsuntos!G10)*11," - ")</f>
        <v>154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57.144249512670569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18</v>
      </c>
      <c r="D13" s="1049">
        <f>SUBTOTAL(9,D9:D12)</f>
        <v>18</v>
      </c>
      <c r="E13" s="1050">
        <f>SUBTOTAL(9,E9:E12)</f>
        <v>12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830</v>
      </c>
      <c r="D16" s="225">
        <f>IF(ISNUMBER(IF(D_I="SI",Datos!I16,Datos!I16+Datos!AC16)),IF(D_I="SI",Datos!I16,Datos!I16+Datos!AC16)," - ")</f>
        <v>829</v>
      </c>
      <c r="E16" s="226">
        <f>IF(ISNUMBER(IF(D_I="SI",Datos!J16,Datos!J16+Datos!AD16)),IF(D_I="SI",Datos!J16,Datos!J16+Datos!AD16)," - ")</f>
        <v>406</v>
      </c>
      <c r="F16" s="226">
        <f>IF(ISNUMBER(IF(D_I="SI",Datos!K16,Datos!K16+Datos!AE16)),IF(D_I="SI",Datos!K16,Datos!K16+Datos!AE16)," - ")</f>
        <v>394</v>
      </c>
      <c r="G16" s="1034" t="str">
        <f>IF(Datos!E16&lt;&gt;"",Datos!E16,Datos!D16)</f>
        <v>04</v>
      </c>
      <c r="H16" s="227">
        <f>IF(ISNUMBER(IF(D_I="SI",Datos!L16,Datos!L16+Datos!AF16)),IF(D_I="SI",Datos!L16,Datos!L16+Datos!AF16)," - ")</f>
        <v>842</v>
      </c>
      <c r="I16" s="1044" t="str">
        <f>IF(ISNUMBER(Datos!AS16/Datos!BM16),Datos!AS16/Datos!BM16," - ")</f>
        <v xml:space="preserve"> - </v>
      </c>
      <c r="J16" s="1045">
        <f>IF(ISNUMBER(Datos!BY16/Datos!CN16),Datos!BY16/Datos!CN16," - ")</f>
        <v>0</v>
      </c>
      <c r="K16" s="230">
        <f t="shared" si="3"/>
        <v>1.4457831325301205E-2</v>
      </c>
      <c r="L16" s="1025">
        <f>IF(ISNUMBER(NºAsuntos!I16/NºAsuntos!G16),(NºAsuntos!I16/NºAsuntos!G16)*11," - ")</f>
        <v>23.507614213197968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67</v>
      </c>
      <c r="D17" s="225">
        <f>IF(ISNUMBER(IF(D_I="SI",Datos!I17,Datos!I17+Datos!AC17)),IF(D_I="SI",Datos!I17,Datos!I17+Datos!AC17)," - ")</f>
        <v>67</v>
      </c>
      <c r="E17" s="226">
        <f>IF(ISNUMBER(IF(D_I="SI",Datos!J17,Datos!J17+Datos!AD17)),IF(D_I="SI",Datos!J17,Datos!J17+Datos!AD17)," - ")</f>
        <v>71</v>
      </c>
      <c r="F17" s="226">
        <f>IF(ISNUMBER(IF(D_I="SI",Datos!K17,Datos!K17+Datos!AE17)),IF(D_I="SI",Datos!K17,Datos!K17+Datos!AE17)," - ")</f>
        <v>65</v>
      </c>
      <c r="G17" s="1034" t="str">
        <f>IF(Datos!E17&lt;&gt;"",Datos!E17,Datos!D17)</f>
        <v>37</v>
      </c>
      <c r="H17" s="227">
        <f>IF(ISNUMBER(IF(D_I="SI",Datos!L17,Datos!L17+Datos!AF17)),IF(D_I="SI",Datos!L17,Datos!L17+Datos!AF17)," - ")</f>
        <v>73</v>
      </c>
      <c r="I17" s="1044" t="str">
        <f>IF(ISNUMBER(Datos!AS17/Datos!BM17),Datos!AS17/Datos!BM17," - ")</f>
        <v xml:space="preserve"> - </v>
      </c>
      <c r="J17" s="1045" t="str">
        <f>IF(ISNUMBER((Datos!BY17+Datos!BZ17)/Datos!CN17),(Datos!BY17+Datos!BZ17)/Datos!CN17," - ")</f>
        <v xml:space="preserve"> - </v>
      </c>
      <c r="K17" s="230">
        <f t="shared" si="3"/>
        <v>8.9552238805970144E-2</v>
      </c>
      <c r="L17" s="1025">
        <f>IF(ISNUMBER(NºAsuntos!I17/NºAsuntos!G17),(NºAsuntos!I17/NºAsuntos!G17)*11," - ")</f>
        <v>12.353846153846154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897</v>
      </c>
      <c r="D18" s="1049">
        <f>SUBTOTAL(9,D15:D17)</f>
        <v>896</v>
      </c>
      <c r="E18" s="1050">
        <f>SUBTOTAL(9,E15:E17)</f>
        <v>477</v>
      </c>
      <c r="F18" s="1050">
        <f>SUBTOTAL(9,F15:F17)</f>
        <v>459</v>
      </c>
      <c r="G18" s="1052" t="str">
        <f ca="1">INDIRECT(CONCATENATE("G",ROW()-1))</f>
        <v>37</v>
      </c>
      <c r="H18" s="1053">
        <f ca="1">SUMIF(G$14:G17,G18,H$14:H17)</f>
        <v>73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915</v>
      </c>
      <c r="D19" s="1071">
        <f>SUBTOTAL(9,D9:D18)</f>
        <v>914</v>
      </c>
      <c r="E19" s="1072">
        <f>SUBTOTAL(9,E9:E18)</f>
        <v>489</v>
      </c>
      <c r="F19" s="1072">
        <f>SUBTOTAL(9,F9:F18)</f>
        <v>461</v>
      </c>
      <c r="G19" s="1073"/>
      <c r="H19" s="1074">
        <f ca="1">SUMIF(B9:B18,"TOTAL",H9:H18)</f>
        <v>73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vyOOI5F38llhalHIqlOqTm3DwpslaBUSs61GhXuSIwjqQURonJaT6vI+Ue/VIVEKtkPc0QCDmCv4+/w0SBheQ==" saltValue="/e4uuEs4pefzwyKRoftB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tt8lmUs3UO41hepNIl+4CQFRhj1q5yV9J6g2IVCXyde1LdRaJTBMOsUN3u6xYmDq7y+BZ+b9ZsMv1Ibs5WVSA==" saltValue="1Pxbg9BCaPKm0AYpwW2Z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18</v>
      </c>
      <c r="J10" s="181">
        <v>12</v>
      </c>
      <c r="K10" s="181">
        <v>2</v>
      </c>
      <c r="L10" s="181">
        <v>28</v>
      </c>
      <c r="M10" s="181">
        <v>2</v>
      </c>
      <c r="N10" s="181">
        <v>0</v>
      </c>
      <c r="O10" s="181">
        <v>0</v>
      </c>
      <c r="P10" s="181">
        <v>1</v>
      </c>
      <c r="Q10" s="181">
        <v>0</v>
      </c>
      <c r="R10" s="181">
        <v>8</v>
      </c>
      <c r="S10" s="181">
        <v>19</v>
      </c>
      <c r="T10" s="181">
        <v>8</v>
      </c>
      <c r="U10" s="181">
        <v>11</v>
      </c>
      <c r="V10" s="181">
        <v>16</v>
      </c>
      <c r="W10" s="181">
        <v>6</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8</v>
      </c>
      <c r="BA10" s="129">
        <f t="shared" si="0"/>
        <v>11</v>
      </c>
      <c r="BB10" s="129">
        <f t="shared" si="0"/>
        <v>16</v>
      </c>
      <c r="BC10" s="125">
        <f t="shared" si="0"/>
        <v>6</v>
      </c>
      <c r="BD10" s="126">
        <f>IF(ISNUMBER(BA10/AZ10),BA10/AZ10," - ")</f>
        <v>1.375</v>
      </c>
      <c r="BE10" s="127">
        <f>IF(ISNUMBER(BB10/BA10),BB10/BA10, " - ")</f>
        <v>1.4545454545454546</v>
      </c>
      <c r="BF10" s="127">
        <f>IF(ISNUMBER(BC10/BA10),BC10/BA10, " - ")</f>
        <v>0.54545454545454541</v>
      </c>
      <c r="BG10" s="196">
        <f>IF(ISNUMBER((AY10+AZ10)/BA10),(AY10+AZ10)/BA10," - ")</f>
        <v>2.4545454545454546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2333</v>
      </c>
      <c r="J12" s="183">
        <v>690</v>
      </c>
      <c r="K12" s="183">
        <v>480</v>
      </c>
      <c r="L12" s="183">
        <v>2544</v>
      </c>
      <c r="M12" s="183">
        <v>115</v>
      </c>
      <c r="N12" s="183">
        <v>196</v>
      </c>
      <c r="O12" s="181">
        <v>236</v>
      </c>
      <c r="P12" s="183">
        <v>162</v>
      </c>
      <c r="Q12" s="183">
        <v>40</v>
      </c>
      <c r="R12" s="183">
        <v>2579</v>
      </c>
      <c r="S12" s="183">
        <v>1871</v>
      </c>
      <c r="T12" s="183">
        <v>624</v>
      </c>
      <c r="U12" s="183">
        <v>487</v>
      </c>
      <c r="V12" s="183">
        <v>2008</v>
      </c>
      <c r="W12" s="183">
        <v>114</v>
      </c>
      <c r="X12" s="189">
        <v>114</v>
      </c>
      <c r="Y12" s="191">
        <v>103</v>
      </c>
      <c r="Z12" s="181">
        <v>51</v>
      </c>
      <c r="AA12" s="181">
        <v>33</v>
      </c>
      <c r="AB12" s="181">
        <v>121</v>
      </c>
      <c r="AC12" s="183">
        <v>0</v>
      </c>
      <c r="AD12" s="183">
        <v>0</v>
      </c>
      <c r="AE12" s="183">
        <v>0</v>
      </c>
      <c r="AF12" s="189">
        <v>0</v>
      </c>
      <c r="AG12" s="202">
        <v>45</v>
      </c>
      <c r="AH12" s="183">
        <v>44</v>
      </c>
      <c r="AI12" s="183">
        <v>39</v>
      </c>
      <c r="AJ12" s="203">
        <v>50</v>
      </c>
      <c r="AK12" s="182">
        <v>0</v>
      </c>
      <c r="AL12" s="183">
        <v>0</v>
      </c>
      <c r="AM12" s="183">
        <v>0</v>
      </c>
      <c r="AN12" s="189">
        <v>0</v>
      </c>
      <c r="AO12" s="259">
        <v>3</v>
      </c>
      <c r="AP12" s="155">
        <v>3</v>
      </c>
      <c r="AQ12" s="155">
        <v>3</v>
      </c>
      <c r="AR12" s="154">
        <v>3</v>
      </c>
      <c r="AS12" s="340" t="s">
        <v>802</v>
      </c>
      <c r="AT12" s="203"/>
      <c r="AU12" s="202"/>
      <c r="AV12" s="203"/>
      <c r="AW12" s="202"/>
      <c r="AX12" s="203"/>
      <c r="AY12" s="126">
        <f t="shared" si="1"/>
        <v>1916</v>
      </c>
      <c r="AZ12" s="127">
        <f t="shared" si="1"/>
        <v>668</v>
      </c>
      <c r="BA12" s="127">
        <f t="shared" si="1"/>
        <v>526</v>
      </c>
      <c r="BB12" s="127">
        <f t="shared" si="1"/>
        <v>2058</v>
      </c>
      <c r="BC12" s="125">
        <f>IF(ISNUMBER(X12),X12," - ")</f>
        <v>114</v>
      </c>
      <c r="BD12" s="126">
        <f t="shared" si="2"/>
        <v>0.78742514970059885</v>
      </c>
      <c r="BE12" s="127">
        <f t="shared" si="3"/>
        <v>3.9125475285171101</v>
      </c>
      <c r="BF12" s="127">
        <f t="shared" si="4"/>
        <v>0.21673003802281368</v>
      </c>
      <c r="BG12" s="196">
        <f t="shared" si="5"/>
        <v>4.9125475285171101</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2351</v>
      </c>
      <c r="J13" s="184">
        <f t="shared" si="6"/>
        <v>702</v>
      </c>
      <c r="K13" s="184">
        <f t="shared" si="6"/>
        <v>482</v>
      </c>
      <c r="L13" s="184">
        <f t="shared" si="6"/>
        <v>2572</v>
      </c>
      <c r="M13" s="184">
        <f t="shared" si="6"/>
        <v>117</v>
      </c>
      <c r="N13" s="184">
        <f t="shared" si="6"/>
        <v>196</v>
      </c>
      <c r="O13" s="184">
        <f t="shared" si="6"/>
        <v>236</v>
      </c>
      <c r="P13" s="184">
        <f t="shared" si="6"/>
        <v>163</v>
      </c>
      <c r="Q13" s="184">
        <f t="shared" si="6"/>
        <v>40</v>
      </c>
      <c r="R13" s="184">
        <f t="shared" si="6"/>
        <v>2587</v>
      </c>
      <c r="S13" s="184">
        <f t="shared" si="6"/>
        <v>1890</v>
      </c>
      <c r="T13" s="184">
        <f t="shared" si="6"/>
        <v>632</v>
      </c>
      <c r="U13" s="184">
        <f t="shared" si="6"/>
        <v>498</v>
      </c>
      <c r="V13" s="184">
        <f t="shared" si="6"/>
        <v>2024</v>
      </c>
      <c r="W13" s="184">
        <f t="shared" si="6"/>
        <v>120</v>
      </c>
      <c r="X13" s="184">
        <f t="shared" si="6"/>
        <v>116</v>
      </c>
      <c r="Y13" s="184">
        <f t="shared" si="6"/>
        <v>103</v>
      </c>
      <c r="Z13" s="184">
        <f t="shared" si="6"/>
        <v>51</v>
      </c>
      <c r="AA13" s="184">
        <f t="shared" si="6"/>
        <v>33</v>
      </c>
      <c r="AB13" s="184">
        <f t="shared" si="6"/>
        <v>121</v>
      </c>
      <c r="AC13" s="184">
        <f t="shared" si="6"/>
        <v>0</v>
      </c>
      <c r="AD13" s="184">
        <f t="shared" si="6"/>
        <v>0</v>
      </c>
      <c r="AE13" s="184">
        <f t="shared" si="6"/>
        <v>0</v>
      </c>
      <c r="AF13" s="184">
        <f>SUBTOTAL(9,AF9:AF12)</f>
        <v>0</v>
      </c>
      <c r="AG13" s="184">
        <f t="shared" ref="AG13:AT13" si="7">SUBTOTAL(9,AG8:AG12)</f>
        <v>45</v>
      </c>
      <c r="AH13" s="184">
        <f t="shared" si="7"/>
        <v>44</v>
      </c>
      <c r="AI13" s="184">
        <f t="shared" si="7"/>
        <v>39</v>
      </c>
      <c r="AJ13" s="184">
        <f t="shared" si="7"/>
        <v>50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1935</v>
      </c>
      <c r="AZ13" s="184">
        <f>SUBTOTAL(9,AZ8:AZ12)</f>
        <v>676</v>
      </c>
      <c r="BA13" s="184">
        <f>SUBTOTAL(9,BA8:BA12)</f>
        <v>537</v>
      </c>
      <c r="BB13" s="184">
        <f>SUBTOTAL(9,BB8:BB12)</f>
        <v>2074</v>
      </c>
      <c r="BC13" s="184">
        <f>SUBTOTAL(9,BC8:BC12)</f>
        <v>120</v>
      </c>
      <c r="BD13" s="205">
        <f>IF(ISNUMBER(BA13/AZ13),BA13/AZ13," - ")</f>
        <v>0.79437869822485208</v>
      </c>
      <c r="BE13" s="206">
        <f>IF(ISNUMBER(BB13/BA13),BB13/BA13, " - ")</f>
        <v>3.8621973929236497</v>
      </c>
      <c r="BF13" s="206">
        <f>IF(ISNUMBER(BC13/BA13),BC13/BA13, " - ")</f>
        <v>0.22346368715083798</v>
      </c>
      <c r="BG13" s="207">
        <f>IF(ISNUMBER((AY13+AZ13)/BA13),(AY13+AZ13)/BA13," - ")</f>
        <v>4.8621973929236502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829</v>
      </c>
      <c r="J16" s="183">
        <v>406</v>
      </c>
      <c r="K16" s="183">
        <v>394</v>
      </c>
      <c r="L16" s="183">
        <v>842</v>
      </c>
      <c r="M16" s="183">
        <v>70</v>
      </c>
      <c r="N16" s="183">
        <v>187</v>
      </c>
      <c r="O16" s="181">
        <v>6</v>
      </c>
      <c r="P16" s="183">
        <v>15</v>
      </c>
      <c r="Q16" s="183">
        <v>10</v>
      </c>
      <c r="R16" s="183">
        <v>111</v>
      </c>
      <c r="S16" s="183">
        <v>786</v>
      </c>
      <c r="T16" s="183">
        <v>452</v>
      </c>
      <c r="U16" s="183">
        <v>476</v>
      </c>
      <c r="V16" s="183">
        <v>762</v>
      </c>
      <c r="W16" s="183">
        <v>71</v>
      </c>
      <c r="X16" s="189">
        <v>238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786</v>
      </c>
      <c r="AZ16" s="127">
        <f t="shared" si="9"/>
        <v>452</v>
      </c>
      <c r="BA16" s="127">
        <f t="shared" si="9"/>
        <v>476</v>
      </c>
      <c r="BB16" s="127">
        <f t="shared" si="9"/>
        <v>762</v>
      </c>
      <c r="BC16" s="125">
        <f>IF(ISNUMBER(W16),W16," - ")</f>
        <v>71</v>
      </c>
      <c r="BD16" s="126">
        <f t="shared" ref="BD16" si="11">IF(ISNUMBER(BA16/AZ16),BA16/AZ16," - ")</f>
        <v>1.0530973451327434</v>
      </c>
      <c r="BE16" s="127">
        <f t="shared" ref="BE16" si="12">IF(ISNUMBER(BB16/BA16),BB16/BA16, " - ")</f>
        <v>1.6008403361344539</v>
      </c>
      <c r="BF16" s="127">
        <f t="shared" ref="BF16" si="13">IF(ISNUMBER(BC16/BA16),BC16/BA16, " - ")</f>
        <v>0.14915966386554622</v>
      </c>
      <c r="BG16" s="196">
        <f t="shared" si="10"/>
        <v>2.6008403361344539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67</v>
      </c>
      <c r="J17" s="183">
        <v>71</v>
      </c>
      <c r="K17" s="183">
        <v>65</v>
      </c>
      <c r="L17" s="183">
        <v>73</v>
      </c>
      <c r="M17" s="183">
        <v>7</v>
      </c>
      <c r="N17" s="183">
        <v>45</v>
      </c>
      <c r="O17" s="183">
        <v>0</v>
      </c>
      <c r="P17" s="183">
        <v>0</v>
      </c>
      <c r="Q17" s="183">
        <v>1</v>
      </c>
      <c r="R17" s="183">
        <v>0</v>
      </c>
      <c r="S17" s="183">
        <v>114</v>
      </c>
      <c r="T17" s="183">
        <v>77</v>
      </c>
      <c r="U17" s="183">
        <v>83</v>
      </c>
      <c r="V17" s="183">
        <v>108</v>
      </c>
      <c r="W17" s="183">
        <v>9</v>
      </c>
      <c r="X17" s="189">
        <v>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114</v>
      </c>
      <c r="AZ17" s="129">
        <f t="shared" si="14"/>
        <v>77</v>
      </c>
      <c r="BA17" s="129">
        <f t="shared" si="14"/>
        <v>83</v>
      </c>
      <c r="BB17" s="129">
        <f t="shared" si="14"/>
        <v>108</v>
      </c>
      <c r="BC17" s="125">
        <f>IF(ISNUMBER(W17),W17," - ")</f>
        <v>9</v>
      </c>
      <c r="BD17" s="126">
        <f>IF(ISNUMBER(BA17/AZ17),BA17/AZ17," - ")</f>
        <v>1.0779220779220779</v>
      </c>
      <c r="BE17" s="127">
        <f>IF(ISNUMBER(BB17/BA17),BB17/BA17, " - ")</f>
        <v>1.3012048192771084</v>
      </c>
      <c r="BF17" s="127">
        <f>IF(ISNUMBER(BC17/BA17),BC17/BA17, " - ")</f>
        <v>0.10843373493975904</v>
      </c>
      <c r="BG17" s="196">
        <f>IF(ISNUMBER((AY17+AZ17)/BA17),(AY17+AZ17)/BA17," - ")</f>
        <v>2.3012048192771086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896</v>
      </c>
      <c r="J18" s="184">
        <f t="shared" si="15"/>
        <v>477</v>
      </c>
      <c r="K18" s="184">
        <f t="shared" si="15"/>
        <v>459</v>
      </c>
      <c r="L18" s="184">
        <f t="shared" si="15"/>
        <v>915</v>
      </c>
      <c r="M18" s="184">
        <f t="shared" si="15"/>
        <v>77</v>
      </c>
      <c r="N18" s="184">
        <f t="shared" si="15"/>
        <v>232</v>
      </c>
      <c r="O18" s="184">
        <f t="shared" si="15"/>
        <v>6</v>
      </c>
      <c r="P18" s="184">
        <f t="shared" si="15"/>
        <v>15</v>
      </c>
      <c r="Q18" s="184">
        <f t="shared" si="15"/>
        <v>11</v>
      </c>
      <c r="R18" s="184">
        <f t="shared" si="15"/>
        <v>111</v>
      </c>
      <c r="S18" s="184">
        <f t="shared" si="15"/>
        <v>900</v>
      </c>
      <c r="T18" s="184">
        <f t="shared" si="15"/>
        <v>529</v>
      </c>
      <c r="U18" s="184">
        <f t="shared" si="15"/>
        <v>559</v>
      </c>
      <c r="V18" s="184">
        <f t="shared" si="15"/>
        <v>870</v>
      </c>
      <c r="W18" s="184">
        <f t="shared" si="15"/>
        <v>80</v>
      </c>
      <c r="X18" s="184">
        <f t="shared" si="15"/>
        <v>290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900</v>
      </c>
      <c r="AZ18" s="184">
        <f>SUBTOTAL(9,AZ14:AZ17)</f>
        <v>529</v>
      </c>
      <c r="BA18" s="184">
        <f>SUBTOTAL(9,BA14:BA17)</f>
        <v>559</v>
      </c>
      <c r="BB18" s="184">
        <f>SUBTOTAL(9,BB14:BB17)</f>
        <v>870</v>
      </c>
      <c r="BC18" s="184">
        <f>SUBTOTAL(9,BC14:BC17)</f>
        <v>80</v>
      </c>
      <c r="BD18" s="205">
        <f>IF(ISNUMBER(BA18/AZ18),BA18/AZ18," - ")</f>
        <v>1.0567107750472591</v>
      </c>
      <c r="BE18" s="206">
        <f>IF(ISNUMBER(BB18/BA18),BB18/BA18, " - ")</f>
        <v>1.556350626118068</v>
      </c>
      <c r="BF18" s="206">
        <f>IF(ISNUMBER(BC18/BA18),BC18/BA18, " - ")</f>
        <v>0.14311270125223613</v>
      </c>
      <c r="BG18" s="207">
        <f>IF(ISNUMBER((AY18+AZ18)/BA18),(AY18+AZ18)/BA18," - ")</f>
        <v>2.5563506261180682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3247</v>
      </c>
      <c r="J19" s="134">
        <f t="shared" si="18"/>
        <v>1179</v>
      </c>
      <c r="K19" s="134">
        <f t="shared" si="18"/>
        <v>941</v>
      </c>
      <c r="L19" s="134">
        <f t="shared" si="18"/>
        <v>3487</v>
      </c>
      <c r="M19" s="134">
        <f t="shared" si="18"/>
        <v>194</v>
      </c>
      <c r="N19" s="134">
        <f t="shared" si="18"/>
        <v>428</v>
      </c>
      <c r="O19" s="134">
        <f t="shared" si="18"/>
        <v>242</v>
      </c>
      <c r="P19" s="134">
        <f t="shared" si="18"/>
        <v>178</v>
      </c>
      <c r="Q19" s="134">
        <f t="shared" si="18"/>
        <v>51</v>
      </c>
      <c r="R19" s="134">
        <f t="shared" si="18"/>
        <v>2698</v>
      </c>
      <c r="S19" s="134">
        <f t="shared" si="18"/>
        <v>2790</v>
      </c>
      <c r="T19" s="134">
        <f t="shared" si="18"/>
        <v>1161</v>
      </c>
      <c r="U19" s="134">
        <f t="shared" si="18"/>
        <v>1057</v>
      </c>
      <c r="V19" s="134">
        <f t="shared" si="18"/>
        <v>2894</v>
      </c>
      <c r="W19" s="134">
        <f t="shared" si="18"/>
        <v>200</v>
      </c>
      <c r="X19" s="134">
        <f t="shared" si="18"/>
        <v>406</v>
      </c>
      <c r="Y19" s="134">
        <f t="shared" si="18"/>
        <v>103</v>
      </c>
      <c r="Z19" s="134">
        <f t="shared" si="18"/>
        <v>51</v>
      </c>
      <c r="AA19" s="134">
        <f t="shared" si="18"/>
        <v>33</v>
      </c>
      <c r="AB19" s="134">
        <f t="shared" si="18"/>
        <v>121</v>
      </c>
      <c r="AC19" s="134">
        <f t="shared" si="18"/>
        <v>0</v>
      </c>
      <c r="AD19" s="134">
        <f t="shared" si="18"/>
        <v>0</v>
      </c>
      <c r="AE19" s="134">
        <f t="shared" si="18"/>
        <v>0</v>
      </c>
      <c r="AF19" s="134">
        <f t="shared" si="18"/>
        <v>0</v>
      </c>
      <c r="AG19" s="134">
        <f t="shared" si="18"/>
        <v>45</v>
      </c>
      <c r="AH19" s="134">
        <f t="shared" si="18"/>
        <v>44</v>
      </c>
      <c r="AI19" s="134">
        <f t="shared" si="18"/>
        <v>39</v>
      </c>
      <c r="AJ19" s="134">
        <f t="shared" si="18"/>
        <v>50</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2835</v>
      </c>
      <c r="AZ19" s="134">
        <f>SUBTOTAL(9,AZ9:AZ18)</f>
        <v>1205</v>
      </c>
      <c r="BA19" s="134">
        <f>SUBTOTAL(9,BA9:BA18)</f>
        <v>1096</v>
      </c>
      <c r="BB19" s="134">
        <f>SUBTOTAL(9,BB9:BB18)</f>
        <v>2944</v>
      </c>
      <c r="BC19" s="135">
        <f>SUBTOTAL(9,BC9:BC18)</f>
        <v>200</v>
      </c>
      <c r="BD19" s="213">
        <f>IF(ISNUMBER(BA19/AZ19),BA19/AZ19," - ")</f>
        <v>0.90954356846473028</v>
      </c>
      <c r="BE19" s="210">
        <f>IF(ISNUMBER(BB19/BA19),BB19/BA19, " - ")</f>
        <v>2.6861313868613137</v>
      </c>
      <c r="BF19" s="210">
        <f>IF(ISNUMBER(BC19/BA19),BC19/BA19, " - ")</f>
        <v>0.18248175182481752</v>
      </c>
      <c r="BG19" s="135">
        <f>IF(ISNUMBER((AY19+AZ19)/BA19),(AY19+AZ19)/BA19," - ")</f>
        <v>3.6861313868613137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vBMwwuHqvSC26VyD7qOM8V9YkNsBjwgKa4FtZC6OOU+wqGaQcrHp7AVeN6Zp1xNUz9akOHtu9GKI/E/Pf5qCw==" saltValue="pnzK6aX6/MAn6evh83tq3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EBJDd0LOd7zCjutQrOxv301nqmIS887d/u8FkAyctn97s2xXMNgbA+PWonkQObOsBiOmim4g6D84rKIOdlPuA==" saltValue="2/tf2DUVCJXPelaSUxnv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CARBALLO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28</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0.16666666666666666</v>
      </c>
      <c r="BH10" s="260">
        <f>IF(ISNUMBER(((Datos!L10/Datos!K10)*11)/factor_trimestre),((Datos!L10/Datos!K10)*11)/factor_trimestre," - ")</f>
        <v>42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162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121</v>
      </c>
      <c r="AI12" s="334" t="str">
        <f>IF(ISNUMBER(Datos!CD12),Datos!CD12,"-")</f>
        <v>-</v>
      </c>
      <c r="AJ12" s="334" t="str">
        <f>IF(ISNUMBER(Datos!EN12),Datos!EN12," - ")</f>
        <v xml:space="preserve"> - </v>
      </c>
      <c r="AK12" s="334"/>
      <c r="AL12" s="479"/>
      <c r="AM12" s="335">
        <f>IF(ISNUMBER(Datos!R12),Datos!R12," - ")</f>
        <v>2579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115</v>
      </c>
      <c r="BD12" s="229">
        <f>IF(ISNUMBER(Datos!N12),Datos!N12," - ")</f>
        <v>196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0.69230769230769229</v>
      </c>
      <c r="BH12" s="260">
        <f>IF(ISNUMBER(((IF(J_V="SI",Datos!L12/Datos!K12,(Datos!L12+Datos!AB12)/(Datos!K12+Datos!AA12)))*11)/factor_trimestre),((IF(J_V="SI",Datos!L12/Datos!K12,(Datos!L12+Datos!AB12)/(Datos!K12+Datos!AA12)))*11)/factor_trimestre," - ")</f>
        <v>15.584795321637429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4.9654049654049653E-2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163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40</v>
      </c>
      <c r="AD13" s="899">
        <f t="shared" si="1"/>
        <v>0</v>
      </c>
      <c r="AE13" s="899">
        <f t="shared" si="1"/>
        <v>0</v>
      </c>
      <c r="AF13" s="899">
        <f t="shared" si="1"/>
        <v>28</v>
      </c>
      <c r="AG13" s="899">
        <f t="shared" si="1"/>
        <v>0</v>
      </c>
      <c r="AH13" s="899">
        <f t="shared" si="1"/>
        <v>121</v>
      </c>
      <c r="AI13" s="899">
        <f t="shared" si="1"/>
        <v>0</v>
      </c>
      <c r="AJ13" s="899">
        <f t="shared" si="1"/>
        <v>0</v>
      </c>
      <c r="AK13" s="899">
        <f t="shared" si="1"/>
        <v>0</v>
      </c>
      <c r="AL13" s="899">
        <f t="shared" si="1"/>
        <v>0</v>
      </c>
      <c r="AM13" s="899">
        <f t="shared" si="1"/>
        <v>2587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117</v>
      </c>
      <c r="BD13" s="899">
        <f t="shared" si="1"/>
        <v>196</v>
      </c>
      <c r="BE13" s="899">
        <f t="shared" si="1"/>
        <v>0</v>
      </c>
      <c r="BF13" s="899">
        <f t="shared" si="1"/>
        <v>0</v>
      </c>
      <c r="BG13" s="899">
        <f>IF(ISNUMBER(Datos!K13/Datos!J13),Datos!K13/Datos!J13," - ")</f>
        <v>0.68660968660968658</v>
      </c>
      <c r="BH13" s="903">
        <f>IF(ISNUMBER(((Datos!L13/Datos!K13)*11)/factor_trimestre),((Datos!L13/Datos!K13)*11)/factor_trimestre," - ")</f>
        <v>16.008298755186722</v>
      </c>
      <c r="BI13" s="899">
        <f>IF(ISNUMBER('Resol  Asuntos'!D13/NºAsuntos!G13),'Resol  Asuntos'!D13/NºAsuntos!G13," - ")</f>
        <v>0.22718446601941747</v>
      </c>
      <c r="BJ13" s="899" t="str">
        <f>IF(ISNUMBER(Datos!CI13/Datos!CJ13),Datos!CI13/Datos!CJ13," - ")</f>
        <v xml:space="preserve"> - </v>
      </c>
      <c r="BK13" s="899">
        <f>SUBTOTAL(9,BK8:BK12)</f>
        <v>0</v>
      </c>
      <c r="BL13" s="899">
        <f>IF(ISNUMBER((I13-AB13+L13)/(F13)),(I13-AB13+L13)/(F13)," - ")</f>
        <v>-0.1111111111111111</v>
      </c>
      <c r="BM13" s="904">
        <f>SUBTOTAL(9,BM9:BM12)</f>
        <v>0.1925111925111925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830</v>
      </c>
      <c r="G16" s="598">
        <f>IF(ISNUMBER(IF(D_I="SI",Datos!I16,Datos!I16+Datos!AC16)),IF(D_I="SI",Datos!I16,Datos!I16+Datos!AC16)," - ")</f>
        <v>829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394</v>
      </c>
      <c r="AC16" s="226">
        <f>IF(ISNUMBER(Datos!Q16),Datos!Q16," - ")</f>
        <v>10</v>
      </c>
      <c r="AD16" s="334"/>
      <c r="AE16" s="484"/>
      <c r="AF16" s="596">
        <f>IF(ISNUMBER(IF(D_I="SI",Datos!L16,Datos!L16+Datos!AF16)),IF(D_I="SI",Datos!L16,Datos!L16+Datos!AF16)," - ")</f>
        <v>842</v>
      </c>
      <c r="AG16" s="334"/>
      <c r="AH16" s="334"/>
      <c r="AI16" s="334"/>
      <c r="AJ16" s="334"/>
      <c r="AK16" s="334"/>
      <c r="AL16" s="479"/>
      <c r="AM16" s="335">
        <f>IF(ISNUMBER(Datos!R16),Datos!R16," - ")</f>
        <v>111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70</v>
      </c>
      <c r="BD16" s="229">
        <f>IF(ISNUMBER(Datos!N16),Datos!N16," - ")</f>
        <v>187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0.97044334975369462</v>
      </c>
      <c r="BH16" s="260">
        <f>IF(ISNUMBER(((IF(D_I="SI",Datos!L16/Datos!K16,(Datos!L16+Datos!AF16)/(Datos!K16+Datos!AE16)))*11)/factor_trimestre),((IF(D_I="SI",Datos!L16/Datos!K16,(Datos!L16+Datos!AF16)/(Datos!K16+Datos!AE16)))*11)/factor_trimestre," - ")</f>
        <v>6.4111675126903549</v>
      </c>
      <c r="BI16" s="243">
        <f>IF(ISNUMBER('Resol  Asuntos'!D16/NºAsuntos!G16),'Resol  Asuntos'!D16/NºAsuntos!G16," - ")</f>
        <v>0.17766497461928935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65</v>
      </c>
      <c r="AC17" s="226">
        <f>IF(ISNUMBER(Datos!Q17),Datos!Q17," - ")</f>
        <v>1</v>
      </c>
      <c r="AD17" s="334"/>
      <c r="AE17" s="484"/>
      <c r="AF17" s="332">
        <f>IF(ISNUMBER(Datos!L17),Datos!L17,"-")</f>
        <v>73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45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0.91549295774647887</v>
      </c>
      <c r="BH17" s="260">
        <f>IF(ISNUMBER(((IF(D_I="SI",Datos!L17/Datos!K17,(Datos!L17+Datos!AF17)/(Datos!K17+Datos!AE17)))*11)/factor_trimestre),((IF(D_I="SI",Datos!L17/Datos!K17,(Datos!L17+Datos!AF17)/(Datos!K17+Datos!AE17)))*11)/factor_trimestre," - ")</f>
        <v>3.3692307692307697</v>
      </c>
      <c r="BI17" s="243">
        <f>IF(ISNUMBER('Resol  Asuntos'!D17/NºAsuntos!G17),'Resol  Asuntos'!D17/NºAsuntos!G17," - ")</f>
        <v>0.1076923076923077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830</v>
      </c>
      <c r="G18" s="898">
        <f>SUBTOTAL(9,G15:G17)</f>
        <v>896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459</v>
      </c>
      <c r="AC18" s="899">
        <f t="shared" si="4"/>
        <v>11</v>
      </c>
      <c r="AD18" s="899">
        <f t="shared" si="4"/>
        <v>0</v>
      </c>
      <c r="AE18" s="899">
        <f t="shared" si="4"/>
        <v>0</v>
      </c>
      <c r="AF18" s="899">
        <f t="shared" si="4"/>
        <v>915</v>
      </c>
      <c r="AG18" s="899">
        <f t="shared" si="4"/>
        <v>0</v>
      </c>
      <c r="AH18" s="899">
        <f t="shared" si="4"/>
        <v>0</v>
      </c>
      <c r="AI18" s="899">
        <f t="shared" si="4"/>
        <v>0</v>
      </c>
      <c r="AJ18" s="899">
        <f t="shared" si="4"/>
        <v>0</v>
      </c>
      <c r="AK18" s="899">
        <f t="shared" si="4"/>
        <v>0</v>
      </c>
      <c r="AL18" s="899">
        <f t="shared" si="4"/>
        <v>0</v>
      </c>
      <c r="AM18" s="899">
        <f t="shared" si="4"/>
        <v>111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232</v>
      </c>
      <c r="BE18" s="899">
        <f t="shared" si="4"/>
        <v>0</v>
      </c>
      <c r="BF18" s="899">
        <f t="shared" si="4"/>
        <v>0</v>
      </c>
      <c r="BG18" s="899">
        <f>IF(ISNUMBER(Datos!K18/Datos!J18),Datos!K18/Datos!J18," - ")</f>
        <v>0.96226415094339623</v>
      </c>
      <c r="BH18" s="903">
        <f>IF(ISNUMBER(((Datos!L18/Datos!K18)*11)/factor_trimestre),((Datos!L18/Datos!K18)*11)/factor_trimestre," - ")</f>
        <v>5.9803921568627452</v>
      </c>
      <c r="BI18" s="899">
        <f>SUBTOTAL(9,BI15:BI17)</f>
        <v>0.28535728231159707</v>
      </c>
      <c r="BJ18" s="899">
        <f>SUBTOTAL(9,BJ15:BJ17)</f>
        <v>0</v>
      </c>
      <c r="BK18" s="899">
        <f>SUBTOTAL(9,BK15:BK17)</f>
        <v>0</v>
      </c>
      <c r="BL18" s="899">
        <f>IF(ISNUMBER((I18-AB18+L18)/(F18)),(I18-AB18+L18)/(F18)," - ")</f>
        <v>-0.55301204819277106</v>
      </c>
      <c r="BM18" s="905">
        <f>IF(ISNUMBER((Datos!P18-Datos!Q18)/(Datos!R18-Datos!P18+Datos!Q18)),(Datos!P18-Datos!Q18)/(Datos!R18-Datos!P18+Datos!Q18)," - ")</f>
        <v>3.7383177570093455E-2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848</v>
      </c>
      <c r="G19" s="820">
        <f t="shared" si="6"/>
        <v>914</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178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461</v>
      </c>
      <c r="AC19" s="821">
        <f t="shared" si="7"/>
        <v>51</v>
      </c>
      <c r="AD19" s="821">
        <f t="shared" si="7"/>
        <v>0</v>
      </c>
      <c r="AE19" s="821">
        <f t="shared" si="7"/>
        <v>0</v>
      </c>
      <c r="AF19" s="828">
        <f t="shared" si="7"/>
        <v>943</v>
      </c>
      <c r="AG19" s="828">
        <f t="shared" si="7"/>
        <v>0</v>
      </c>
      <c r="AH19" s="828">
        <f t="shared" si="7"/>
        <v>121</v>
      </c>
      <c r="AI19" s="828">
        <f t="shared" si="7"/>
        <v>0</v>
      </c>
      <c r="AJ19" s="821">
        <f t="shared" si="7"/>
        <v>0</v>
      </c>
      <c r="AK19" s="828">
        <f t="shared" si="7"/>
        <v>0</v>
      </c>
      <c r="AL19" s="828">
        <f t="shared" si="7"/>
        <v>0</v>
      </c>
      <c r="AM19" s="828">
        <f t="shared" si="7"/>
        <v>2698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194</v>
      </c>
      <c r="BD19" s="820">
        <f t="shared" si="7"/>
        <v>428</v>
      </c>
      <c r="BE19" s="820">
        <f t="shared" si="7"/>
        <v>0</v>
      </c>
      <c r="BF19" s="830">
        <f t="shared" si="7"/>
        <v>0</v>
      </c>
      <c r="BG19" s="915">
        <f>IF(ISNUMBER(Datos!K19/Datos!J19),Datos!K19/Datos!J19," - ")</f>
        <v>0.79813401187446986</v>
      </c>
      <c r="BH19" s="915">
        <f>IF(ISNUMBER(((Datos!L19/Datos!K19)*11)/factor_trimestre),((Datos!L19/Datos!K19)*11)/factor_trimestre," - ")</f>
        <v>11.116896918172158</v>
      </c>
      <c r="BI19" s="813">
        <f>IF(ISNUMBER(Datos!J19/Datos!I19),Datos!J19/Datos!I19," - ")</f>
        <v>0.36310440406529104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-0.54363207547169812</v>
      </c>
      <c r="BM19" s="889">
        <f>IF(ISNUMBER((Datos!P19-Datos!Q19+R19)/(Datos!R19-Datos!P19+Datos!Q19-R19)),(Datos!P19-Datos!Q19+R19)/(Datos!R19-Datos!P19+Datos!Q19-R19)," - ")</f>
        <v>4.9397121742512644E-2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468.80841858197613</v>
      </c>
      <c r="G21" s="552">
        <f>IF(ISNUMBER(STDEV(G8:G18)),STDEV(G8:G18),"-")</f>
        <v>454.66394182956714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223.68124641998935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50.408993906511036</v>
      </c>
      <c r="BD21" s="551"/>
      <c r="BE21" s="551">
        <f>IF(ISNUMBER(STDEV(BE8:BE18)),STDEV(BE8:BE18),"-")</f>
        <v>0</v>
      </c>
      <c r="BF21" s="556">
        <f>IF(ISNUMBER(STDEV(BF8:BF18)),STDEV(BF8:BF18),"-")</f>
        <v>0</v>
      </c>
      <c r="BG21" s="775">
        <f>IF(ISNUMBER(STDEV(BG8:BG18)),STDEV(BG8:BG18),"-")</f>
        <v>0.3055432809501622</v>
      </c>
      <c r="BH21" s="776">
        <f>IF(ISNUMBER(STDEV(BH8:BH18)),STDEV(BH8:BH18),"-")</f>
        <v>14.287653666364182</v>
      </c>
      <c r="BI21" s="249">
        <f>IF(ISNUMBER(STDEV(BI8:BI18)),STDEV(BI8:BI18),"-")</f>
        <v>7.5373117967108536E-2</v>
      </c>
      <c r="BJ21" s="230" t="str">
        <f>IF(ISNUMBER(BL21/BM21),BL21/BM21," - ")</f>
        <v xml:space="preserve"> - </v>
      </c>
      <c r="BK21" s="575"/>
      <c r="BL21" s="559">
        <f>IF(ISNUMBER(STDEV(BL8:BL18)),STDEV(BL8:BL18),"-")</f>
        <v>0.31247114922313168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Bhs2KkJ162GoXUnMSj6ztGcyyJFF0q9UTdWowyZLaJ/DnqPO89gIAAaA3+fqXXD/PYTvFyoUlYLyeHccIIylg==" saltValue="K0CTHUjz0Uf1m3xq8zzP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CARBALLO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28</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v>
      </c>
      <c r="AA12" s="332" t="str">
        <f>IF(ISNUMBER(IF(J_V="SI",Datos!L12,Datos!L12+Datos!AB12)-IF(Monitorios="SI",Datos!CD12,0)),
                          IF(J_V="SI",Datos!L12,Datos!L12+Datos!AB12)-IF(Monitorios="SI",Datos!CD12,0),
                          " - ")</f>
        <v xml:space="preserve"> - </v>
      </c>
      <c r="AB12" s="334"/>
      <c r="AC12" s="334"/>
      <c r="AD12" s="484"/>
      <c r="AE12" s="484">
        <f>IF(ISNUMBER(Datos!R12),Datos!R12," - ")</f>
        <v>2579</v>
      </c>
      <c r="AF12" s="229" t="str">
        <f>IF(ISNUMBER(Datos!BV12),Datos!BV12," - ")</f>
        <v xml:space="preserve"> - </v>
      </c>
      <c r="AG12" s="225" t="str">
        <f>IF(ISNUMBER(Datos!DV12),Datos!DV12," - ")</f>
        <v xml:space="preserve"> - </v>
      </c>
      <c r="AH12" s="298"/>
      <c r="AI12" s="227"/>
      <c r="AJ12" s="225">
        <f>IF(ISNUMBER(Datos!M12),Datos!M12," - ")</f>
        <v>115</v>
      </c>
      <c r="AK12" s="229">
        <f>IF(ISNUMBER(Datos!N12),Datos!N12," - ")</f>
        <v>196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15.584795321637429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4.9654049654049653E-2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163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40</v>
      </c>
      <c r="AA13" s="900">
        <f t="shared" si="2"/>
        <v>28</v>
      </c>
      <c r="AB13" s="900">
        <f t="shared" si="2"/>
        <v>0</v>
      </c>
      <c r="AC13" s="900">
        <f t="shared" si="2"/>
        <v>0</v>
      </c>
      <c r="AD13" s="900">
        <f t="shared" si="2"/>
        <v>0</v>
      </c>
      <c r="AE13" s="900">
        <f t="shared" si="2"/>
        <v>2587</v>
      </c>
      <c r="AF13" s="908">
        <f t="shared" si="2"/>
        <v>0</v>
      </c>
      <c r="AG13" s="908">
        <f t="shared" si="2"/>
        <v>0</v>
      </c>
      <c r="AH13" s="908">
        <f t="shared" si="2"/>
        <v>0</v>
      </c>
      <c r="AI13" s="908">
        <f t="shared" si="2"/>
        <v>0</v>
      </c>
      <c r="AJ13" s="908">
        <f t="shared" si="2"/>
        <v>117</v>
      </c>
      <c r="AK13" s="908">
        <f t="shared" si="2"/>
        <v>196</v>
      </c>
      <c r="AL13" s="908">
        <f t="shared" si="2"/>
        <v>0</v>
      </c>
      <c r="AM13" s="908">
        <f t="shared" si="2"/>
        <v>0</v>
      </c>
      <c r="AN13" s="908">
        <f t="shared" si="2"/>
        <v>0</v>
      </c>
      <c r="AO13" s="904">
        <f>IF(ISNUMBER(((NºAsuntos!I13/NºAsuntos!G13)*11)/factor_trimestre),((NºAsuntos!I13/NºAsuntos!G13)*11)/factor_trimestre," - ")</f>
        <v>15.6873786407767</v>
      </c>
      <c r="AP13" s="910" t="str">
        <f>IF(ISNUMBER(Datos!CI13/Datos!CJ13),Datos!CI13/Datos!CJ13," - ")</f>
        <v xml:space="preserve"> - </v>
      </c>
      <c r="AQ13" s="928">
        <f t="shared" ref="AQ13:AV13" si="3">SUBTOTAL(9,AQ9:AQ12)</f>
        <v>0</v>
      </c>
      <c r="AR13" s="928">
        <f t="shared" si="3"/>
        <v>0.1925111925111925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830</v>
      </c>
      <c r="G16" s="225">
        <f>IF(ISNUMBER(IF(D_I="SI",Datos!I16,Datos!I16+Datos!AC16)),IF(D_I="SI",Datos!I16,Datos!I16+Datos!AC16)," - ")</f>
        <v>829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394</v>
      </c>
      <c r="Z16" s="619">
        <f>IF(ISNUMBER(Datos!Q16),Datos!Q16," - ")</f>
        <v>10</v>
      </c>
      <c r="AA16" s="332">
        <f>IF(ISNUMBER(IF(D_I="SI",Datos!L16,Datos!L16+Datos!AF16)),IF(D_I="SI",Datos!L16,Datos!L16+Datos!AF16)," - ")</f>
        <v>842</v>
      </c>
      <c r="AB16" s="334"/>
      <c r="AC16" s="334"/>
      <c r="AD16" s="484"/>
      <c r="AE16" s="484">
        <f>IF(ISNUMBER(Datos!R16),Datos!R16," - ")</f>
        <v>111</v>
      </c>
      <c r="AF16" s="229" t="str">
        <f>IF(ISNUMBER(Datos!BV16),Datos!BV16," - ")</f>
        <v xml:space="preserve"> - </v>
      </c>
      <c r="AG16" s="225"/>
      <c r="AH16" s="298"/>
      <c r="AI16" s="227"/>
      <c r="AJ16" s="225">
        <f>IF(ISNUMBER(Datos!M16),Datos!M16," - ")</f>
        <v>70</v>
      </c>
      <c r="AK16" s="229">
        <f>IF(ISNUMBER(Datos!N16),Datos!N16," - ")</f>
        <v>187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6.4111675126903549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65</v>
      </c>
      <c r="Z17" s="619">
        <f>IF(ISNUMBER(Datos!Q17),Datos!Q17," - ")</f>
        <v>1</v>
      </c>
      <c r="AA17" s="332">
        <f>IF(ISNUMBER(Datos!L17),Datos!L17,"-")</f>
        <v>73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45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3.3692307692307697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830</v>
      </c>
      <c r="G18" s="898">
        <f>SUBTOTAL(9,G15:G17)</f>
        <v>896</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459</v>
      </c>
      <c r="Z18" s="932">
        <f t="shared" si="5"/>
        <v>11</v>
      </c>
      <c r="AA18" s="932">
        <f t="shared" si="5"/>
        <v>915</v>
      </c>
      <c r="AB18" s="932">
        <f t="shared" si="5"/>
        <v>0</v>
      </c>
      <c r="AC18" s="932">
        <f t="shared" si="5"/>
        <v>0</v>
      </c>
      <c r="AD18" s="932">
        <f t="shared" si="5"/>
        <v>0</v>
      </c>
      <c r="AE18" s="932">
        <f t="shared" si="5"/>
        <v>111</v>
      </c>
      <c r="AF18" s="932">
        <f t="shared" si="5"/>
        <v>0</v>
      </c>
      <c r="AG18" s="932">
        <f t="shared" si="5"/>
        <v>0</v>
      </c>
      <c r="AH18" s="932">
        <f t="shared" si="5"/>
        <v>0</v>
      </c>
      <c r="AI18" s="932">
        <f t="shared" si="5"/>
        <v>0</v>
      </c>
      <c r="AJ18" s="932">
        <f t="shared" si="5"/>
        <v>77</v>
      </c>
      <c r="AK18" s="932">
        <f t="shared" si="5"/>
        <v>232</v>
      </c>
      <c r="AL18" s="932">
        <f t="shared" si="5"/>
        <v>0</v>
      </c>
      <c r="AM18" s="932">
        <f t="shared" si="5"/>
        <v>0</v>
      </c>
      <c r="AN18" s="932">
        <f t="shared" si="5"/>
        <v>0</v>
      </c>
      <c r="AO18" s="934">
        <f>IF(ISNUMBER(((NºAsuntos!I18/NºAsuntos!G18)*11)/factor_trimestre),((NºAsuntos!I18/NºAsuntos!G18)*11)/factor_trimestre," - ")</f>
        <v>5.9803921568627452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848</v>
      </c>
      <c r="G19" s="820">
        <f t="shared" si="7"/>
        <v>914</v>
      </c>
      <c r="H19" s="821">
        <f t="shared" si="7"/>
        <v>0</v>
      </c>
      <c r="I19" s="820">
        <f t="shared" si="7"/>
        <v>0</v>
      </c>
      <c r="J19" s="822">
        <f t="shared" si="7"/>
        <v>0</v>
      </c>
      <c r="K19" s="820">
        <f t="shared" si="7"/>
        <v>0</v>
      </c>
      <c r="L19" s="823">
        <f t="shared" si="7"/>
        <v>0</v>
      </c>
      <c r="M19" s="820">
        <f t="shared" si="7"/>
        <v>0</v>
      </c>
      <c r="N19" s="821">
        <f t="shared" si="7"/>
        <v>178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461</v>
      </c>
      <c r="Z19" s="827">
        <f t="shared" si="8"/>
        <v>51</v>
      </c>
      <c r="AA19" s="828">
        <f t="shared" si="8"/>
        <v>943</v>
      </c>
      <c r="AB19" s="828">
        <f t="shared" si="8"/>
        <v>0</v>
      </c>
      <c r="AC19" s="828">
        <f t="shared" si="8"/>
        <v>0</v>
      </c>
      <c r="AD19" s="829">
        <f t="shared" si="8"/>
        <v>0</v>
      </c>
      <c r="AE19" s="829">
        <f t="shared" si="8"/>
        <v>2698</v>
      </c>
      <c r="AF19" s="830">
        <f t="shared" si="8"/>
        <v>0</v>
      </c>
      <c r="AG19" s="831">
        <f t="shared" si="8"/>
        <v>0</v>
      </c>
      <c r="AH19" s="832">
        <f t="shared" si="8"/>
        <v>0</v>
      </c>
      <c r="AI19" s="830">
        <f t="shared" si="8"/>
        <v>0</v>
      </c>
      <c r="AJ19" s="820">
        <f t="shared" si="8"/>
        <v>194</v>
      </c>
      <c r="AK19" s="820">
        <f t="shared" si="8"/>
        <v>428</v>
      </c>
      <c r="AL19" s="820">
        <f t="shared" si="8"/>
        <v>0</v>
      </c>
      <c r="AM19" s="833">
        <f t="shared" si="8"/>
        <v>0</v>
      </c>
      <c r="AN19" s="823">
        <f>IF(ISNUMBER(Datos!K19/Datos!J19),Datos!K19/Datos!J19," - ")</f>
        <v>0.79813401187446986</v>
      </c>
      <c r="AO19" s="823">
        <f>IF(ISNUMBER(FIND("06",Criterios!A8,1)),(IF(ISNUMBER(((Datos!R19/Datos!Q19)*11)/factor_trimestre),((Datos!R19/Datos!Q19)*11)/factor_trimestre," - ")),(IF(ISNUMBER(((Datos!L19/Datos!K19)*11)/factor_trimestre),((Datos!L19/Datos!K19)*11)/factor_trimestre," - ")))</f>
        <v>11.116896918172158</v>
      </c>
      <c r="AP19" s="834" t="str">
        <f>IF(ISNUMBER(Datos!CI19/Datos!CJ19),Datos!CI19/Datos!CJ19," - ")</f>
        <v xml:space="preserve"> - </v>
      </c>
      <c r="AQ19" s="834">
        <f>IF(OR(ISNUMBER(FIND("01",Criterios!A8,1)),ISNUMBER(FIND("02",Criterios!A8,1)),ISNUMBER(FIND("03",Criterios!A8,1)),ISNUMBER(FIND("04",Criterios!A8,1))),(J19-Y19+K19)/(F19-K19),(I19-Y19+K19)/(F19-K19))</f>
        <v>-0.54363207547169812</v>
      </c>
      <c r="AR19" s="834">
        <f>IF(ISNUMBER((Datos!P19-Datos!Q19+O19)/(Datos!R19-Datos!P19+Datos!Q19-O19)),(Datos!P19-Datos!Q19+O19)/(Datos!R19-Datos!P19+Datos!Q19-O19)," - ")</f>
        <v>4.9397121742512644E-2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468.80841858197613</v>
      </c>
      <c r="G21" s="552">
        <f>IF(ISNUMBER(STDEV(G8:G18)),STDEV(G8:G18),"-")</f>
        <v>454.66394182956714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50.408993906511036</v>
      </c>
      <c r="AK21" s="252"/>
      <c r="AL21" s="252">
        <f>IF(ISNUMBER(STDEV(AL8:AL18)),STDEV(AL8:AL18),"-")</f>
        <v>0</v>
      </c>
      <c r="AM21" s="254">
        <f>IF(ISNUMBER(STDEV(AM8:AM18)),STDEV(AM8:AM18),"-")</f>
        <v>0</v>
      </c>
      <c r="AN21" s="539">
        <f>IF(ISNUMBER(STDEV(AN8:AN18)),STDEV(AN8:AN18),"-")</f>
        <v>0</v>
      </c>
      <c r="AO21" s="540">
        <f>IF(ISNUMBER(STDEV(AO8:AO18)),STDEV(AO8:AO18),"-")</f>
        <v>14.283240370174438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HwWysC/YrKvwolTyc84zlr2PaBwo2zAjKfbBS1BdF2pX1v4yegRiLZ/dChAime+g0FDTxZB4tQodzNkD1zQ7g==" saltValue="ErYL7ulR6LGJJCyCsN4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s8faHg6hlsOTAsRBe9C4X3BuASseaDbAP/ND4iEYlYdxa8Vp4aX7W7x40nRcBD4xbM+vrmQnU0ZhCOudbnDw==" saltValue="CcesEaVAt7kRLsofZDET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B96LzfrELTEI0vwAhCWfEySTnnrwWO77HtAeVG2F5ceO6lSN7OMuJB9257Nh5nhwdGT7wiOlMJ23fehOsPETA==" saltValue="5i+Q/u+xwiVhVGG04ET5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CARBALLO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0.22718446601941747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0.16064367650257488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pnpe9p2yeo/Lc+v+yRAkhE2kSNgMCHzDuEPjozADY84liVrtIR8UyGTCyt5G5XPCutwrrag4FFbTfeSBWRPxSw==" saltValue="kmneSkaPHt1iYO5qejvA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LPj4ZKlVLW+wq+KtjIhQJDVYDx4K05oS0xQQTai0nCHxpjL1YUY8UtL8IlDaPMjxFeKJYLOCsvDWNXgYYx9zA==" saltValue="LqriTYrq8s8Ho8jXzf31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CARBALLO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18</v>
      </c>
      <c r="D10" s="404">
        <f>IF(ISNUMBER(C10/Datos!BH10),C10/Datos!BH10," - ")</f>
        <v>18</v>
      </c>
      <c r="E10" s="403">
        <f>IF(ISNUMBER(Datos!J10),Datos!J10," - ")</f>
        <v>12</v>
      </c>
      <c r="F10" s="404">
        <f>IF(ISNUMBER(E10/B10),E10/B10," - ")</f>
        <v>12</v>
      </c>
      <c r="G10" s="403">
        <f>IF(ISNUMBER(Datos!K10),Datos!K10," - ")</f>
        <v>2</v>
      </c>
      <c r="H10" s="404">
        <f>IF(ISNUMBER(G10/B10),G10/B10," - ")</f>
        <v>2</v>
      </c>
      <c r="I10" s="403">
        <f>IF(ISNUMBER(Datos!L10),Datos!L10," - ")</f>
        <v>28</v>
      </c>
      <c r="J10" s="404">
        <f>IF(ISNUMBER(I10/B10),I10/B10," - ")</f>
        <v>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2436</v>
      </c>
      <c r="D12" s="404">
        <f>IF(ISNUMBER(C12/Datos!BH12),C12/Datos!BH12," - ")</f>
        <v>812</v>
      </c>
      <c r="E12" s="403">
        <f>IF(ISNUMBER(IF(J_V="SI",Datos!J12,Datos!J12+Datos!Z12)),IF(J_V="SI",Datos!J12,Datos!J12+Datos!Z12)," - ")</f>
        <v>741</v>
      </c>
      <c r="F12" s="404">
        <f>IF(ISNUMBER(E12/B12),E12/B12," - ")</f>
        <v>247</v>
      </c>
      <c r="G12" s="403">
        <f>IF(ISNUMBER(IF(J_V="SI",Datos!K12,Datos!K12+Datos!AA12)),IF(J_V="SI",Datos!K12,Datos!K12+Datos!AA12)," - ")</f>
        <v>513</v>
      </c>
      <c r="H12" s="404">
        <f>IF(ISNUMBER(G12/B12),G12/B12," - ")</f>
        <v>171</v>
      </c>
      <c r="I12" s="403">
        <f>IF(ISNUMBER(IF(J_V="SI",Datos!L12,Datos!L12+Datos!AB12)),IF(J_V="SI",Datos!L12,Datos!L12+Datos!AB12)," - ")</f>
        <v>2665</v>
      </c>
      <c r="J12" s="404">
        <f>IF(ISNUMBER(I12/B12),I12/B12," - ")</f>
        <v>888.33333333333337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2454</v>
      </c>
      <c r="D13" s="850" t="str">
        <f>IF(ISNUMBER(C13/Datos!BI13),C13/Datos!BI13," - ")</f>
        <v xml:space="preserve"> - </v>
      </c>
      <c r="E13" s="849">
        <f>SUBTOTAL(9,E8:E12)</f>
        <v>753</v>
      </c>
      <c r="F13" s="850">
        <f>IF(ISNUMBER(E13/B13),E13/B13," - ")</f>
        <v>251</v>
      </c>
      <c r="G13" s="849">
        <f>SUBTOTAL(9,G8:G12)</f>
        <v>515</v>
      </c>
      <c r="H13" s="850">
        <f>IF(ISNUMBER(G13/B13),G13/B13," - ")</f>
        <v>171.66666666666666</v>
      </c>
      <c r="I13" s="849">
        <f>SUBTOTAL(9,I8:I12)</f>
        <v>2693</v>
      </c>
      <c r="J13" s="850">
        <f>IF(ISNUMBER(I13/B13),I13/B13," - ")</f>
        <v>897.66666666666663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829</v>
      </c>
      <c r="D16" s="404">
        <f>IF(ISNUMBER(C16/Datos!BH16),C16/Datos!BH16," - ")</f>
        <v>276.33333333333331</v>
      </c>
      <c r="E16" s="403">
        <f>IF(ISNUMBER(IF(D_I="SI",Datos!J16,Datos!J16+Datos!AD16)),IF(D_I="SI",Datos!J16,Datos!J16+Datos!AD16)," - ")</f>
        <v>406</v>
      </c>
      <c r="F16" s="404">
        <f>IF(ISNUMBER(E16/B16),E16/B16," - ")</f>
        <v>135.33333333333334</v>
      </c>
      <c r="G16" s="403">
        <f>IF(ISNUMBER(IF(D_I="SI",Datos!K16,Datos!K16+Datos!AE16)),IF(D_I="SI",Datos!K16,Datos!K16+Datos!AE16)," - ")</f>
        <v>394</v>
      </c>
      <c r="H16" s="404">
        <f>IF(ISNUMBER(G16/B16),G16/B16," - ")</f>
        <v>131.33333333333334</v>
      </c>
      <c r="I16" s="403">
        <f>IF(ISNUMBER(IF(D_I="SI",Datos!L16,Datos!L16+Datos!AF16)),IF(D_I="SI",Datos!L16,Datos!L16+Datos!AF16)," - ")</f>
        <v>842</v>
      </c>
      <c r="J16" s="404">
        <f>IF(ISNUMBER(I16/B16),I16/B16," - ")</f>
        <v>280.66666666666669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67</v>
      </c>
      <c r="D17" s="404">
        <f>IF(ISNUMBER(C17/Datos!BH17),C17/Datos!BH17," - ")</f>
        <v>67</v>
      </c>
      <c r="E17" s="403">
        <f>IF(ISNUMBER(IF(D_I="SI",Datos!J17,Datos!J17+Datos!AD17)),IF(D_I="SI",Datos!J17,Datos!J17+Datos!AD17)," - ")</f>
        <v>71</v>
      </c>
      <c r="F17" s="404">
        <f>IF(ISNUMBER(E17/B17),E17/B17," - ")</f>
        <v>71</v>
      </c>
      <c r="G17" s="403">
        <f>IF(ISNUMBER(IF(D_I="SI",Datos!K17,Datos!K17+Datos!AE17)),IF(D_I="SI",Datos!K17,Datos!K17+Datos!AE17)," - ")</f>
        <v>65</v>
      </c>
      <c r="H17" s="404">
        <f>IF(ISNUMBER(G17/B17),G17/B17," - ")</f>
        <v>65</v>
      </c>
      <c r="I17" s="403">
        <f>IF(ISNUMBER(IF(D_I="SI",Datos!L17,Datos!L17+Datos!AF17)),IF(D_I="SI",Datos!L17,Datos!L17+Datos!AF17)," - ")</f>
        <v>73</v>
      </c>
      <c r="J17" s="404">
        <f>IF(ISNUMBER(I17/B17),I17/B17," - ")</f>
        <v>73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896</v>
      </c>
      <c r="D18" s="850" t="str">
        <f>IF(ISNUMBER(C18/Datos!BI18),C18/Datos!BI18," - ")</f>
        <v xml:space="preserve"> - </v>
      </c>
      <c r="E18" s="849">
        <f>SUBTOTAL(9,E14:E17)</f>
        <v>477</v>
      </c>
      <c r="F18" s="850">
        <f>IF(ISNUMBER(E18/B18),E18/B18," - ")</f>
        <v>159</v>
      </c>
      <c r="G18" s="849">
        <f>SUBTOTAL(9,G14:G17)</f>
        <v>459</v>
      </c>
      <c r="H18" s="850">
        <f>IF(ISNUMBER(G18/B18),G18/B18," - ")</f>
        <v>153</v>
      </c>
      <c r="I18" s="849">
        <f>SUBTOTAL(9,I14:I17)</f>
        <v>915</v>
      </c>
      <c r="J18" s="850">
        <f>IF(ISNUMBER(I18/B18),I18/B18," - ")</f>
        <v>305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3350</v>
      </c>
      <c r="D19" s="795" t="str">
        <f>IF(ISNUMBER(C19/Datos!BI19),C19/Datos!BI19," - ")</f>
        <v xml:space="preserve"> - </v>
      </c>
      <c r="E19" s="794">
        <f>SUBTOTAL(9,E9:E18)</f>
        <v>1230</v>
      </c>
      <c r="F19" s="795">
        <f>IF(ISNUMBER(E19/B19),E19/B19," - ")</f>
        <v>410</v>
      </c>
      <c r="G19" s="794">
        <f>SUBTOTAL(9,G9:G18)</f>
        <v>974</v>
      </c>
      <c r="H19" s="795">
        <f>IF(ISNUMBER(G19/B19),G19/B19," - ")</f>
        <v>324.66666666666669</v>
      </c>
      <c r="I19" s="794">
        <f>SUBTOTAL(9,I9:I18)</f>
        <v>3608</v>
      </c>
      <c r="J19" s="795">
        <f>IF(ISNUMBER(I19/B19),I19/B19," - ")</f>
        <v>1202.6666666666667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i8sQHzvd1DV7olmCj2cIbhoCjOHZkYpFS8cw8JV1JYUiPgNtucZS3Tggq0+i5F3ls6dlPjnMNWnWZ0nEwUeNg==" saltValue="LeW/z7+wA05l4SjTz+aU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CARBALLO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115</v>
      </c>
      <c r="AM12" s="690">
        <f>IF(ISNUMBER(Datos!N12+DatosP!N16),Datos!N12+DatosP!N16," - ")</f>
        <v>196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15.584795321637429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4.9654049654049653E-2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163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40</v>
      </c>
      <c r="AE13" s="939">
        <f t="shared" si="1"/>
        <v>0</v>
      </c>
      <c r="AF13" s="939">
        <f t="shared" si="1"/>
        <v>28</v>
      </c>
      <c r="AG13" s="939">
        <f t="shared" si="1"/>
        <v>0</v>
      </c>
      <c r="AH13" s="939">
        <f t="shared" si="1"/>
        <v>2579</v>
      </c>
      <c r="AI13" s="939">
        <f t="shared" si="1"/>
        <v>0</v>
      </c>
      <c r="AJ13" s="939">
        <f t="shared" si="1"/>
        <v>0</v>
      </c>
      <c r="AK13" s="939">
        <f t="shared" si="1"/>
        <v>0</v>
      </c>
      <c r="AL13" s="939">
        <f t="shared" si="1"/>
        <v>117</v>
      </c>
      <c r="AM13" s="939">
        <f t="shared" si="1"/>
        <v>196</v>
      </c>
      <c r="AN13" s="939">
        <f t="shared" si="1"/>
        <v>0</v>
      </c>
      <c r="AO13" s="939">
        <f t="shared" si="1"/>
        <v>0</v>
      </c>
      <c r="AP13" s="944">
        <f>IF(ISNUMBER(((Datos!L13/Datos!K13)*11)/factor_trimestre),((Datos!L13/Datos!K13)*11)/factor_trimestre," - ")</f>
        <v>16.008298755186722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4.9654049654049653E-2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5.9803921568627452</v>
      </c>
      <c r="AQ18" s="944">
        <f>IF(ISNUMBER(((Datos!M18/Datos!L18)*11)/factor_trimestre),((Datos!M18/Datos!L18)*11)/factor_trimestre," - ")</f>
        <v>0.25245901639344265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3.7383177570093455E-2</v>
      </c>
      <c r="AW18" s="946">
        <f>IF(ISNUMBER((Datos!Q18-Datos!R18)/(Datos!S18-Datos!Q18+Datos!R18)),(Datos!Q18-Datos!R18)/(Datos!S18-Datos!Q18+Datos!R18)," - ")</f>
        <v>-0.1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163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40</v>
      </c>
      <c r="AE19" s="957">
        <f t="shared" si="5"/>
        <v>0</v>
      </c>
      <c r="AF19" s="958">
        <f t="shared" si="5"/>
        <v>28</v>
      </c>
      <c r="AG19" s="958">
        <f t="shared" si="5"/>
        <v>0</v>
      </c>
      <c r="AH19" s="958">
        <f t="shared" si="5"/>
        <v>2579</v>
      </c>
      <c r="AI19" s="958">
        <f t="shared" si="5"/>
        <v>0</v>
      </c>
      <c r="AJ19" s="959">
        <f t="shared" si="5"/>
        <v>0</v>
      </c>
      <c r="AK19" s="959">
        <f t="shared" si="5"/>
        <v>0</v>
      </c>
      <c r="AL19" s="951">
        <f t="shared" si="5"/>
        <v>117</v>
      </c>
      <c r="AM19" s="951">
        <f t="shared" si="5"/>
        <v>196</v>
      </c>
      <c r="AN19" s="951">
        <f t="shared" si="5"/>
        <v>0</v>
      </c>
      <c r="AO19" s="951">
        <f t="shared" si="5"/>
        <v>0</v>
      </c>
      <c r="AP19" s="951">
        <f>IF(ISNUMBER(((Datos!L19/Datos!K19)*11)/factor_trimestre),((Datos!L19/Datos!K19)*11)/factor_trimestre," - ")</f>
        <v>11.116896918172158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4.9397121742512644E-2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66.405321071934196</v>
      </c>
      <c r="AM21" s="736"/>
      <c r="AN21" s="736">
        <f>IF(ISNUMBER(STDEV(AN8:AN18)),STDEV(AN8:AN18),"-")</f>
        <v>0</v>
      </c>
      <c r="AO21" s="742">
        <f>IF(ISNUMBER(STDEV(AO8:AO18)),STDEV(AO8:AO18),"-")</f>
        <v>0</v>
      </c>
      <c r="AP21" s="779">
        <f>IF(ISNUMBER(STDEV(AP8:AP18)),STDEV(AP8:AP18),"-")</f>
        <v>15.448102761146442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Cg6fEat0qe5i3EPBiVrWJvBlHpmYzcKSzcqMgJmqKNLJhhKKzokdp0DcgP4RzCvO/0l27Vj9GOHqEo/Gycf9Q==" saltValue="fY9WinJ7mfAT9nTGpg5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CARBALLO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cbvGpPFSHxXH5sgIcXt2IdVieFvlMm0KA//5ZmNDjxmcxO+JCsj1ORj1/mgDmC4LjpbPC9v6Rx+8zcy+0i7vg==" saltValue="wJvH32V2DCkZpP9eJ0BS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CARBALLO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115</v>
      </c>
      <c r="E12" s="404">
        <f t="shared" si="0"/>
        <v>38.333333333333336</v>
      </c>
      <c r="F12" s="403">
        <f>IF(ISNUMBER(Datos!N12),Datos!N12," - ")</f>
        <v>196</v>
      </c>
      <c r="G12" s="404">
        <f t="shared" si="1"/>
        <v>65.333333333333329</v>
      </c>
      <c r="H12" s="403">
        <f>IF(ISNUMBER(Datos!O12),Datos!O12," - ")</f>
        <v>236</v>
      </c>
      <c r="I12" s="404">
        <f t="shared" si="2"/>
        <v>78.666666666666671</v>
      </c>
    </row>
    <row r="13" spans="1:9" ht="14.25" thickTop="1" thickBot="1">
      <c r="A13" s="848" t="str">
        <f>Datos!A13</f>
        <v>TOTAL</v>
      </c>
      <c r="B13" s="849">
        <f>Datos!AO13</f>
        <v>4</v>
      </c>
      <c r="C13" s="851">
        <f>Datos!AR13</f>
        <v>3</v>
      </c>
      <c r="D13" s="849">
        <f>SUBTOTAL(9,D9:D12)</f>
        <v>117</v>
      </c>
      <c r="E13" s="850">
        <f t="shared" si="0"/>
        <v>29.25</v>
      </c>
      <c r="F13" s="849">
        <f>SUBTOTAL(9,F9:F12)</f>
        <v>196</v>
      </c>
      <c r="G13" s="850">
        <f t="shared" si="1"/>
        <v>49</v>
      </c>
      <c r="H13" s="849">
        <f>SUBTOTAL(9,H9:H12)</f>
        <v>236</v>
      </c>
      <c r="I13" s="850">
        <f>IF(ISNUMBER(H13/B13),H13/B13," - ")</f>
        <v>59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70</v>
      </c>
      <c r="E16" s="404">
        <f t="shared" si="3"/>
        <v>23.333333333333332</v>
      </c>
      <c r="F16" s="403">
        <f>IF(ISNUMBER(Datos!N16),Datos!N16," - ")</f>
        <v>187</v>
      </c>
      <c r="G16" s="404">
        <f t="shared" si="4"/>
        <v>62.333333333333336</v>
      </c>
      <c r="H16" s="403">
        <f>IF(ISNUMBER(Datos!O16),Datos!O16," - ")</f>
        <v>6</v>
      </c>
      <c r="I16" s="404">
        <f t="shared" si="5"/>
        <v>2</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45</v>
      </c>
      <c r="G17" s="404">
        <f>IF(ISNUMBER(F17/B17),F17/B17," - ")</f>
        <v>45</v>
      </c>
      <c r="H17" s="403">
        <f>IF(ISNUMBER(Datos!O17),Datos!O17," - ")</f>
        <v>0</v>
      </c>
      <c r="I17" s="404">
        <f t="shared" si="5"/>
        <v>0</v>
      </c>
    </row>
    <row r="18" spans="1:9" ht="14.25" thickTop="1" thickBot="1">
      <c r="A18" s="848" t="str">
        <f>Datos!A18</f>
        <v>TOTAL</v>
      </c>
      <c r="B18" s="849">
        <f>Datos!AO18</f>
        <v>4</v>
      </c>
      <c r="C18" s="851">
        <f>Datos!AR18</f>
        <v>3</v>
      </c>
      <c r="D18" s="849">
        <f>SUBTOTAL(9,D15:D17)</f>
        <v>77</v>
      </c>
      <c r="E18" s="850">
        <f t="shared" si="3"/>
        <v>19.25</v>
      </c>
      <c r="F18" s="849">
        <f>SUBTOTAL(9,F15:F17)</f>
        <v>232</v>
      </c>
      <c r="G18" s="850">
        <f t="shared" si="4"/>
        <v>58</v>
      </c>
      <c r="H18" s="849">
        <f>SUBTOTAL(9,H15:H17)</f>
        <v>6</v>
      </c>
      <c r="I18" s="850">
        <f>IF(ISNUMBER(H18/B18),H18/B18," - ")</f>
        <v>1.5</v>
      </c>
    </row>
    <row r="19" spans="1:9" ht="14.25" thickTop="1" thickBot="1">
      <c r="A19" s="793" t="str">
        <f>Datos!A19</f>
        <v>TOTAL JURISDICCIONES</v>
      </c>
      <c r="B19" s="794">
        <f>Datos!AP19</f>
        <v>3</v>
      </c>
      <c r="C19" s="794">
        <f>Datos!AR19</f>
        <v>3</v>
      </c>
      <c r="D19" s="794">
        <f>SUBTOTAL(9,D8:D18)</f>
        <v>194</v>
      </c>
      <c r="E19" s="795">
        <f>IF(ISNUMBER(D19/B19),D19/B19," - ")</f>
        <v>64.666666666666671</v>
      </c>
      <c r="F19" s="794">
        <f>SUBTOTAL(9,F8:F18)</f>
        <v>428</v>
      </c>
      <c r="G19" s="795">
        <f>IF(ISNUMBER(F19/B19),F19/B19," - ")</f>
        <v>142.66666666666666</v>
      </c>
      <c r="H19" s="794">
        <f>SUBTOTAL(9,H8:H18)</f>
        <v>242</v>
      </c>
      <c r="I19" s="795">
        <f>IF(ISNUMBER(H19/B19),H19/B19," - ")</f>
        <v>80.666666666666671</v>
      </c>
    </row>
    <row r="22" spans="1:9">
      <c r="A22" s="391" t="str">
        <f>Criterios!A4</f>
        <v>Fecha Informe: 29 may. 2024</v>
      </c>
    </row>
    <row r="27" spans="1:9">
      <c r="A27" s="414"/>
    </row>
  </sheetData>
  <sheetProtection algorithmName="SHA-512" hashValue="JRm5XEJfDvzijVR1lyZn70n2YLEhMdwYHXgbPhKaqFxa7W8aMAqBsArWnpRXZAG2EY/rGUhIOKIrc5FwUCr7rQ==" saltValue="y+dCUChRqAZQe/japlVZ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CARBALLO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162</v>
      </c>
      <c r="C12" s="434">
        <f>IF(ISNUMBER(Datos!Q12),Datos!Q12," - ")</f>
        <v>40</v>
      </c>
      <c r="D12" s="408">
        <f>IF(ISNUMBER(Datos!R12),Datos!R12," - ")</f>
        <v>2579</v>
      </c>
    </row>
    <row r="13" spans="1:4" ht="14.25" thickTop="1" thickBot="1">
      <c r="A13" s="848" t="str">
        <f>Datos!A13</f>
        <v>TOTAL</v>
      </c>
      <c r="B13" s="849">
        <f>SUBTOTAL(9,B9:B12)</f>
        <v>163</v>
      </c>
      <c r="C13" s="853">
        <f>SUBTOTAL(9,C9:C12)</f>
        <v>40</v>
      </c>
      <c r="D13" s="851">
        <f>SUBTOTAL(9,D9:D12)</f>
        <v>2587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10</v>
      </c>
      <c r="D16" s="408">
        <f>IF(ISNUMBER(Datos!R16),Datos!R16," - ")</f>
        <v>111</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15</v>
      </c>
      <c r="C18" s="853">
        <f>SUBTOTAL(9,C15:C17)</f>
        <v>11</v>
      </c>
      <c r="D18" s="851">
        <f>SUBTOTAL(9,D15:D17)</f>
        <v>111</v>
      </c>
    </row>
    <row r="19" spans="1:4" ht="16.5" customHeight="1" thickTop="1" thickBot="1">
      <c r="A19" s="793" t="str">
        <f>Datos!A19</f>
        <v>TOTAL JURISDICCIONES</v>
      </c>
      <c r="B19" s="798">
        <f>SUBTOTAL(9,B8:B18)</f>
        <v>178</v>
      </c>
      <c r="C19" s="799">
        <f>SUBTOTAL(9,C8:C18)</f>
        <v>51</v>
      </c>
      <c r="D19" s="800">
        <f>SUBTOTAL(9,D8:D18)</f>
        <v>2698</v>
      </c>
    </row>
    <row r="20" spans="1:4" ht="7.5" customHeight="1"/>
    <row r="21" spans="1:4" ht="6" customHeight="1"/>
    <row r="22" spans="1:4">
      <c r="A22" s="391" t="str">
        <f>Criterios!A4</f>
        <v>Fecha Informe: 29 may. 2024</v>
      </c>
    </row>
    <row r="27" spans="1:4">
      <c r="A27" s="414"/>
    </row>
  </sheetData>
  <sheetProtection algorithmName="SHA-512" hashValue="ox6A094PJneRP+IKhNMONH3dlsbDB44wzswHT3sTbWzrUghCrI4pg74KYOqe125oKKpyaDqW8XpPF2HU1jI1AQ==" saltValue="ldKvMqyW2xm+eCzizdpY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CARBALLO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-5.2631578947368418E-2</v>
      </c>
      <c r="C10" s="456">
        <f>IF(ISNUMBER((Datos!J10-Datos!T10)/Datos!T10),(Datos!J10-Datos!T10)/Datos!T10," - ")</f>
        <v>0.5</v>
      </c>
      <c r="D10" s="456">
        <f>IF(ISNUMBER((Datos!K10-Datos!U10)/Datos!U10),(Datos!K10-Datos!U10)/Datos!U10," - ")</f>
        <v>-0.81818181818181823</v>
      </c>
      <c r="E10" s="456">
        <f>IF(ISNUMBER((Datos!L10-Datos!V10)/Datos!V10),(Datos!L10-Datos!V10)/Datos!V10," - ")</f>
        <v>0.75</v>
      </c>
      <c r="F10" s="456">
        <f>IF(ISNUMBER((Datos!M10-Datos!W10)/Datos!W10),(Datos!M10-Datos!W10)/Datos!W10," - ")</f>
        <v>-0.66666666666666663</v>
      </c>
      <c r="G10" s="457">
        <f>IF(ISNUMBER((Datos!N10-Datos!X10)/Datos!X10),(Datos!N10-Datos!X10)/Datos!X10," - ")</f>
        <v>-1</v>
      </c>
      <c r="H10" s="455">
        <f>IF(ISNUMBER(((NºAsuntos!G10/NºAsuntos!E10)-Datos!BD10)/Datos!BD10),((NºAsuntos!G10/NºAsuntos!E10)-Datos!BD10)/Datos!BD10," - ")</f>
        <v>-0.87878787878787878</v>
      </c>
      <c r="I10" s="456">
        <f>IF(ISNUMBER(((NºAsuntos!I10/NºAsuntos!G10)-Datos!BE10)/Datos!BE10),((NºAsuntos!I10/NºAsuntos!G10)-Datos!BE10)/Datos!BE10," - ")</f>
        <v>8.625</v>
      </c>
      <c r="J10" s="461">
        <f>IF(ISNUMBER((('Resol  Asuntos'!D10/NºAsuntos!G10)-Datos!BF10)/Datos!BF10),(('Resol  Asuntos'!D10/NºAsuntos!G10)-Datos!BF10)/Datos!BF10," - ")</f>
        <v>0.83333333333333348</v>
      </c>
      <c r="K10" s="462">
        <f>IF(ISNUMBER((((NºAsuntos!C10+NºAsuntos!E10)/NºAsuntos!G10)-Datos!BG10)/Datos!BG10),(((NºAsuntos!C10+NºAsuntos!E10)/NºAsuntos!G10)-Datos!BG10)/Datos!BG10," - ")</f>
        <v>5.1111111111111107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0.27139874739039666</v>
      </c>
      <c r="C12" s="456">
        <f>IF(ISNUMBER(
   IF(J_V="SI",(Datos!J12-Datos!T12)/Datos!T12,(Datos!J12+Datos!Z12-(Datos!T12+Datos!AH12))/(Datos!T12+Datos!AH12))
     ),IF(J_V="SI",(Datos!J12-Datos!T12)/Datos!T12,(Datos!J12+Datos!Z12-(Datos!T12+Datos!AH12))/(Datos!T12+Datos!AH12))," - ")</f>
        <v>0.1092814371257485</v>
      </c>
      <c r="D12" s="456">
        <f>IF(ISNUMBER(
   IF(J_V="SI",(Datos!K12-Datos!U12)/Datos!U12,(Datos!K12+Datos!AA12-(Datos!U12+Datos!AI12))/(Datos!U12+Datos!AI12))
     ),IF(J_V="SI",(Datos!K12-Datos!U12)/Datos!U12,(Datos!K12+Datos!AA12-(Datos!U12+Datos!AI12))/(Datos!U12+Datos!AI12))," - ")</f>
        <v>-2.4714828897338403E-2</v>
      </c>
      <c r="E12" s="456">
        <f>IF(ISNUMBER(
   IF(J_V="SI",(Datos!L12-Datos!V12)/Datos!V12,(Datos!L12+Datos!AB12-(Datos!V12+Datos!AJ12))/(Datos!V12+Datos!AJ12))
     ),IF(J_V="SI",(Datos!L12-Datos!V12)/Datos!V12,(Datos!L12+Datos!AB12-(Datos!V12+Datos!AJ12))/(Datos!V12+Datos!AJ12))," - ")</f>
        <v>0.29494655004859088</v>
      </c>
      <c r="F12" s="456">
        <f>IF(ISNUMBER((Datos!M12-Datos!W12)/Datos!W12),(Datos!M12-Datos!W12)/Datos!W12," - ")</f>
        <v>8.771929824561403E-3</v>
      </c>
      <c r="G12" s="457">
        <f>IF(ISNUMBER((Datos!N12-Datos!X12)/Datos!X12),(Datos!N12-Datos!X12)/Datos!X12," - ")</f>
        <v>0.7192982456140351</v>
      </c>
      <c r="H12" s="455">
        <f>IF(ISNUMBER(((NºAsuntos!G12/NºAsuntos!E12)-Datos!BD12)/Datos!BD12),((NºAsuntos!G12/NºAsuntos!E12)-Datos!BD12)/Datos!BD12," - ")</f>
        <v>-0.12079555425563038</v>
      </c>
      <c r="I12" s="456">
        <f>IF(ISNUMBER(((NºAsuntos!I12/NºAsuntos!G12)-Datos!BE12)/Datos!BE12),((NºAsuntos!I12/NºAsuntos!G12)-Datos!BE12)/Datos!BE12," - ")</f>
        <v>0.32776195969894512</v>
      </c>
      <c r="J12" s="461">
        <f>IF(ISNUMBER((('Resol  Asuntos'!D12/NºAsuntos!G12)-Datos!BF12)/Datos!BF12),(('Resol  Asuntos'!D12/NºAsuntos!G12)-Datos!BF12)/Datos!BF12," - ")</f>
        <v>3.433535104818574E-2</v>
      </c>
      <c r="K12" s="462">
        <f>IF(ISNUMBER((((NºAsuntos!C12+NºAsuntos!E12)/NºAsuntos!G12)-Datos!BG12)/Datos!BG12),(((NºAsuntos!C12+NºAsuntos!E12)/NºAsuntos!G12)-Datos!BG12)/Datos!BG12," - ")</f>
        <v>0.26064580957036565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0.2682170542635659</v>
      </c>
      <c r="C13" s="855">
        <f>IF(ISNUMBER(
   IF(J_V="SI",(Datos!J13-Datos!T13)/Datos!T13,(Datos!J13+Datos!Z13-(Datos!T13+Datos!AH13))/(Datos!T13+Datos!AH13))
     ),IF(J_V="SI",(Datos!J13-Datos!T13)/Datos!T13,(Datos!J13+Datos!Z13-(Datos!T13+Datos!AH13))/(Datos!T13+Datos!AH13))," - ")</f>
        <v>0.11390532544378698</v>
      </c>
      <c r="D13" s="855">
        <f>IF(ISNUMBER(
   IF(J_V="SI",(Datos!K13-Datos!U13)/Datos!U13,(Datos!K13+Datos!AA13-(Datos!U13+Datos!AI13))/(Datos!U13+Datos!AI13))
     ),IF(J_V="SI",(Datos!K13-Datos!U13)/Datos!U13,(Datos!K13+Datos!AA13-(Datos!U13+Datos!AI13))/(Datos!U13+Datos!AI13))," - ")</f>
        <v>-4.0968342644320296E-2</v>
      </c>
      <c r="E13" s="855">
        <f>IF(ISNUMBER(
   IF(J_V="SI",(Datos!L13-Datos!V13)/Datos!V13,(Datos!L13+Datos!AB13-(Datos!V13+Datos!AJ13))/(Datos!V13+Datos!AJ13))
     ),IF(J_V="SI",(Datos!L13-Datos!V13)/Datos!V13,(Datos!L13+Datos!AB13-(Datos!V13+Datos!AJ13))/(Datos!V13+Datos!AJ13))," - ")</f>
        <v>0.29845708775313406</v>
      </c>
      <c r="F13" s="856">
        <f>IF(ISNUMBER((Datos!M13-Datos!W13)/Datos!W13),(Datos!M13-Datos!W13)/Datos!W13," - ")</f>
        <v>-2.5000000000000001E-2</v>
      </c>
      <c r="G13" s="857">
        <f>IF(ISNUMBER((Datos!N13-Datos!X13)/Datos!X13),(Datos!N13-Datos!X13)/Datos!X13," - ")</f>
        <v>0.68965517241379315</v>
      </c>
      <c r="H13" s="857">
        <f>IF(ISNUMBER(((NºAsuntos!G13/NºAsuntos!E13)-Datos!BD13)/Datos!BD13),((NºAsuntos!G13/NºAsuntos!E13)-Datos!BD13)/Datos!BD13," - ")</f>
        <v>-0.13903665289184672</v>
      </c>
      <c r="I13" s="857">
        <f>IF(ISNUMBER(((NºAsuntos!I13/NºAsuntos!G13)-Datos!BE13)/Datos!BE13),((NºAsuntos!I13/NºAsuntos!G13)-Datos!BE13)/Datos!BE13," - ")</f>
        <v>0.35392515752122911</v>
      </c>
      <c r="J13" s="857">
        <f>IF(ISNUMBER((('Resol  Asuntos'!D13/NºAsuntos!G13)-Datos!BF13)/Datos!BF13),(('Resol  Asuntos'!D13/NºAsuntos!G13)-Datos!BF13)/Datos!BF13," - ")</f>
        <v>1.6650485436893236E-2</v>
      </c>
      <c r="K13" s="857">
        <f>IF(ISNUMBER((((NºAsuntos!C13+NºAsuntos!E13)/NºAsuntos!G13)-Datos!BG13)/Datos!BG13),(((NºAsuntos!C13+NºAsuntos!E13)/NºAsuntos!G13)-Datos!BG13)/Datos!BG13," - ")</f>
        <v>0.28073460676079159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5.4707379134860054E-2</v>
      </c>
      <c r="C16" s="456">
        <f>IF(ISNUMBER(
   IF(D_I="SI",(Datos!J16-Datos!T16)/Datos!T16,(Datos!J16+Datos!AD16-(Datos!T16+Datos!AL16))/(Datos!T16+Datos!AL16))
     ),IF(D_I="SI",(Datos!J16-Datos!T16)/Datos!T16,(Datos!J16+Datos!AD16-(Datos!T16+Datos!AL16))/(Datos!T16+Datos!AL16))," - ")</f>
        <v>-0.10176991150442478</v>
      </c>
      <c r="D16" s="456">
        <f>IF(ISNUMBER(
   IF(D_I="SI",(Datos!K16-Datos!U16)/Datos!U16,(Datos!K16+Datos!AE16-(Datos!U16+Datos!AM16))/(Datos!U16+Datos!AM16))
     ),IF(D_I="SI",(Datos!K16-Datos!U16)/Datos!U16,(Datos!K16+Datos!AE16-(Datos!U16+Datos!AM16))/(Datos!U16+Datos!AM16))," - ")</f>
        <v>-0.17226890756302521</v>
      </c>
      <c r="E16" s="456">
        <f>IF(ISNUMBER(
   IF(D_I="SI",(Datos!L16-Datos!V16)/Datos!V16,(Datos!L16+Datos!AF16-(Datos!V16+Datos!AN16))/(Datos!V16+Datos!AN16))
     ),IF(D_I="SI",(Datos!L16-Datos!V16)/Datos!V16,(Datos!L16+Datos!AF16-(Datos!V16+Datos!AN16))/(Datos!V16+Datos!AN16))," - ")</f>
        <v>0.10498687664041995</v>
      </c>
      <c r="F16" s="456">
        <f>IF(ISNUMBER((Datos!M16-Datos!W16)/Datos!W16),(Datos!M16-Datos!W16)/Datos!W16," - ")</f>
        <v>-1.4084507042253521E-2</v>
      </c>
      <c r="G16" s="457">
        <f>IF(ISNUMBER((Datos!N16-Datos!X16)/Datos!X16),(Datos!N16-Datos!X16)/Datos!X16," - ")</f>
        <v>-0.21428571428571427</v>
      </c>
      <c r="H16" s="455">
        <f>IF(ISNUMBER(((NºAsuntos!G16/NºAsuntos!E16)-Datos!BD16)/Datos!BD16),((NºAsuntos!G16/NºAsuntos!E16)-Datos!BD16)/Datos!BD16," - ")</f>
        <v>-7.8486567040609384E-2</v>
      </c>
      <c r="I16" s="456">
        <f>IF(ISNUMBER(((NºAsuntos!I16/NºAsuntos!G16)-Datos!BE16)/Datos!BE16),((NºAsuntos!I16/NºAsuntos!G16)-Datos!BE16)/Datos!BE16," - ")</f>
        <v>0.33495876467218233</v>
      </c>
      <c r="J16" s="461">
        <f>IF(ISNUMBER((('Resol  Asuntos'!D16/NºAsuntos!G16)-Datos!BF16)/Datos!BF16),(('Resol  Asuntos'!D16/NºAsuntos!G16)-Datos!BF16)/Datos!BF16," - ")</f>
        <v>0.1911060270250948</v>
      </c>
      <c r="K16" s="462">
        <f>IF(ISNUMBER((((NºAsuntos!C16+NºAsuntos!E16)/NºAsuntos!G16)-Datos!BG16)/Datos!BG16),(((NºAsuntos!C16+NºAsuntos!E16)/NºAsuntos!G16)-Datos!BG16)/Datos!BG16," - ")</f>
        <v>0.20519423009110802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-0.41228070175438597</v>
      </c>
      <c r="C17" s="456">
        <f>IF(ISNUMBER(
   IF(D_I="SI",(Datos!J17-Datos!T17)/Datos!T17,(Datos!J17+Datos!AD17-(Datos!T17+Datos!AL17))/(Datos!T17+Datos!AL17))
     ),IF(D_I="SI",(Datos!J17-Datos!T17)/Datos!T17,(Datos!J17+Datos!AD17-(Datos!T17+Datos!AL17))/(Datos!T17+Datos!AL17))," - ")</f>
        <v>-7.792207792207792E-2</v>
      </c>
      <c r="D17" s="456">
        <f>IF(ISNUMBER(
   IF(D_I="SI",(Datos!K17-Datos!U17)/Datos!U17,(Datos!K17+Datos!AE17-(Datos!U17+Datos!AM17))/(Datos!U17+Datos!AM17))
     ),IF(D_I="SI",(Datos!K17-Datos!U17)/Datos!U17,(Datos!K17+Datos!AE17-(Datos!U17+Datos!AM17))/(Datos!U17+Datos!AM17))," - ")</f>
        <v>-0.21686746987951808</v>
      </c>
      <c r="E17" s="456">
        <f>IF(ISNUMBER(
   IF(D_I="SI",(Datos!L17-Datos!V17)/Datos!V17,(Datos!L17+Datos!AF17-(Datos!V17+Datos!AN17))/(Datos!V17+Datos!AN17))
     ),IF(D_I="SI",(Datos!L17-Datos!V17)/Datos!V17,(Datos!L17+Datos!AF17-(Datos!V17+Datos!AN17))/(Datos!V17+Datos!AN17))," - ")</f>
        <v>-0.32407407407407407</v>
      </c>
      <c r="F17" s="456">
        <f>IF(ISNUMBER((Datos!M17-Datos!W17)/Datos!W17),(Datos!M17-Datos!W17)/Datos!W17," - ")</f>
        <v>-0.22222222222222221</v>
      </c>
      <c r="G17" s="457">
        <f>IF(ISNUMBER((Datos!N17-Datos!X17)/Datos!X17),(Datos!N17-Datos!X17)/Datos!X17," - ")</f>
        <v>-0.13461538461538461</v>
      </c>
      <c r="H17" s="455">
        <f>IF(ISNUMBER(((NºAsuntos!G17/NºAsuntos!E17)-Datos!BD17)/Datos!BD17),((NºAsuntos!G17/NºAsuntos!E17)-Datos!BD17)/Datos!BD17," - ")</f>
        <v>-0.15068725606651961</v>
      </c>
      <c r="I17" s="456">
        <f>IF(ISNUMBER(((NºAsuntos!I17/NºAsuntos!G17)-Datos!BE17)/Datos!BE17),((NºAsuntos!I17/NºAsuntos!G17)-Datos!BE17)/Datos!BE17," - ")</f>
        <v>-0.13689458689458686</v>
      </c>
      <c r="J17" s="461">
        <f>IF(ISNUMBER((('Resol  Asuntos'!D17/NºAsuntos!G17)-Datos!BF17)/Datos!BF17),(('Resol  Asuntos'!D17/NºAsuntos!G17)-Datos!BF17)/Datos!BF17," - ")</f>
        <v>-6.837606837606802E-3</v>
      </c>
      <c r="K17" s="462">
        <f>IF(ISNUMBER((((NºAsuntos!C17+NºAsuntos!E17)/NºAsuntos!G17)-Datos!BG17)/Datos!BG17),(((NºAsuntos!C17+NºAsuntos!E17)/NºAsuntos!G17)-Datos!BG17)/Datos!BG17," - ")</f>
        <v>-7.7406363270237685E-2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-4.4444444444444444E-3</v>
      </c>
      <c r="C18" s="855">
        <f>IF(ISNUMBER(
   IF(Criterios!B14="SI",(Datos!J18-Datos!T18)/Datos!T18,(Datos!J18+Datos!AD18-(Datos!T18+Datos!AL18))/(Datos!T18+Datos!AL18))
     ),IF(Criterios!B14="SI",(Datos!J18-Datos!T18)/Datos!T18,(Datos!J18+Datos!AD18-(Datos!T18+Datos!AL18))/(Datos!T18+Datos!AL18))," - ")</f>
        <v>-9.8298676748582225E-2</v>
      </c>
      <c r="D18" s="855">
        <f>IF(ISNUMBER(
   IF(Criterios!B14="SI",(Datos!K18-Datos!U18)/Datos!U18,(Datos!K18+Datos!AE18-(Datos!U18+Datos!AM18))/(Datos!U18+Datos!AM18))
     ),IF(Criterios!B14="SI",(Datos!K18-Datos!U18)/Datos!U18,(Datos!K18+Datos!AE18-(Datos!U18+Datos!AM18))/(Datos!U18+Datos!AM18))," - ")</f>
        <v>-0.17889087656529518</v>
      </c>
      <c r="E18" s="855">
        <f>IF(ISNUMBER(
   IF(Criterios!B14="SI",(Datos!L18-Datos!V18)/Datos!V18,(Datos!L18+Datos!AF18-(Datos!V18+Datos!AN18))/(Datos!V18+Datos!AN18))
     ),IF(Criterios!B14="SI",(Datos!L18-Datos!V18)/Datos!V18,(Datos!L18+Datos!AF18-(Datos!V18+Datos!AN18))/(Datos!V18+Datos!AN18))," - ")</f>
        <v>5.1724137931034482E-2</v>
      </c>
      <c r="F18" s="856">
        <f>IF(ISNUMBER((Datos!M18-Datos!W18)/Datos!W18),(Datos!M18-Datos!W18)/Datos!W18," - ")</f>
        <v>-3.7499999999999999E-2</v>
      </c>
      <c r="G18" s="857">
        <f>IF(ISNUMBER((Datos!N18-Datos!X18)/Datos!X18),(Datos!N18-Datos!X18)/Datos!X18," - ")</f>
        <v>-0.2</v>
      </c>
      <c r="H18" s="857">
        <f>IF(ISNUMBER(((NºAsuntos!G18/NºAsuntos!E18)-Datos!BD18)/Datos!BD18),((NºAsuntos!G18/NºAsuntos!E18)-Datos!BD18)/Datos!BD18," - ")</f>
        <v>-8.937793229149095E-2</v>
      </c>
      <c r="I18" s="857">
        <f>IF(ISNUMBER(((NºAsuntos!I18/NºAsuntos!G18)-Datos!BE18)/Datos!BE18),((NºAsuntos!I18/NºAsuntos!G18)-Datos!BE18)/Datos!BE18," - ")</f>
        <v>0.28085793704454964</v>
      </c>
      <c r="J18" s="857">
        <f>IF(ISNUMBER((('Resol  Asuntos'!D18/NºAsuntos!G18)-Datos!BF18)/Datos!BF18),(('Resol  Asuntos'!D18/NºAsuntos!G18)-Datos!BF18)/Datos!BF18," - ")</f>
        <v>0.1721949891067539</v>
      </c>
      <c r="K18" s="857">
        <f>IF(ISNUMBER((((NºAsuntos!C18+NºAsuntos!E18)/NºAsuntos!G18)-Datos!BG18)/Datos!BG18),(((NºAsuntos!C18+NºAsuntos!E18)/NºAsuntos!G18)-Datos!BG18)/Datos!BG18," - ")</f>
        <v>0.17013893653254772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0.18165784832451498</v>
      </c>
      <c r="C19" s="802">
        <f>IF(ISNUMBER(
   IF(J_V="SI",(Datos!J19-Datos!T19)/Datos!T19,(Datos!J19+Datos!Z19-(Datos!T19+Datos!AH19))/(Datos!T19+Datos!AH19))
     ),IF(J_V="SI",(Datos!J19-Datos!T19)/Datos!T19,(Datos!J19+Datos!Z19-(Datos!T19+Datos!AH19))/(Datos!T19+Datos!AH19))," - ")</f>
        <v>2.0746887966804978E-2</v>
      </c>
      <c r="D19" s="802">
        <f>IF(ISNUMBER(
   IF(J_V="SI",(Datos!K19-Datos!U19)/Datos!U19,(Datos!K19+Datos!AA19-(Datos!U19+Datos!AI19))/(Datos!U19+Datos!AI19))
     ),IF(J_V="SI",(Datos!K19-Datos!U19)/Datos!U19,(Datos!K19+Datos!AA19-(Datos!U19+Datos!AI19))/(Datos!U19+Datos!AI19))," - ")</f>
        <v>-0.11131386861313869</v>
      </c>
      <c r="E19" s="802">
        <f>IF(ISNUMBER(
   IF(J_V="SI",(Datos!L19-Datos!V19)/Datos!V19,(Datos!L19+Datos!AB19-(Datos!V19+Datos!AJ19))/(Datos!V19+Datos!AJ19))
     ),IF(J_V="SI",(Datos!L19-Datos!V19)/Datos!V19,(Datos!L19+Datos!AB19-(Datos!V19+Datos!AJ19))/(Datos!V19+Datos!AJ19))," - ")</f>
        <v>0.22554347826086957</v>
      </c>
      <c r="F19" s="803">
        <f>IF(ISNUMBER((Datos!M19-Datos!W19)/Datos!W19),(Datos!M19-Datos!W19)/Datos!W19," - ")</f>
        <v>-0.03</v>
      </c>
      <c r="G19" s="804">
        <f>IF(ISNUMBER((Datos!N19-Datos!X19)/Datos!X19),(Datos!N19-Datos!X19)/Datos!X19," - ")</f>
        <v>5.4187192118226604E-2</v>
      </c>
      <c r="H19" s="805">
        <f>IF(ISNUMBER((Tasas!B19-Datos!BD19)/Datos!BD19),(Tasas!B19-Datos!BD19)/Datos!BD19," - ")</f>
        <v>-0.12937659486083911</v>
      </c>
      <c r="I19" s="806">
        <f>IF(ISNUMBER((Tasas!C19-Datos!BE19)/Datos!BE19),(Tasas!C19-Datos!BE19)/Datos!BE19," - ")</f>
        <v>0.37905097759128659</v>
      </c>
      <c r="J19" s="807">
        <f>IF(ISNUMBER((Tasas!D19-Datos!BF19)/Datos!BF19),(Tasas!D19-Datos!BF19)/Datos!BF19," - ")</f>
        <v>9.1498973305954884E-2</v>
      </c>
      <c r="K19" s="807">
        <f>IF(ISNUMBER((Tasas!E19-Datos!BG19)/Datos!BG19),(Tasas!E19-Datos!BG19)/Datos!BG19," - ")</f>
        <v>0.27566226848557546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2sMGzOlQc8jDijGVL7Qhlh3G+6ZdRumu93jZ7NOM2nLdSAEjjkZEcg2rIQYQlsDZ1aYXEA7NrdrI33vlQrupg==" saltValue="xzPcT+BIYHtDnCDt/9pt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CARBALLO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0.16666666666666666</v>
      </c>
      <c r="C10" s="443">
        <f>IF(ISNUMBER(NºAsuntos!I10/NºAsuntos!G10),NºAsuntos!I10/NºAsuntos!G10," - ")</f>
        <v>14</v>
      </c>
      <c r="D10" s="444">
        <f>IF(ISNUMBER('Resol  Asuntos'!D10/NºAsuntos!G10),'Resol  Asuntos'!D10/NºAsuntos!G10," - ")</f>
        <v>1</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0.69230769230769229</v>
      </c>
      <c r="C12" s="443">
        <f>IF(ISNUMBER(NºAsuntos!I12/NºAsuntos!G12),NºAsuntos!I12/NºAsuntos!G12," - ")</f>
        <v>5.1949317738791425</v>
      </c>
      <c r="D12" s="444">
        <f>IF(ISNUMBER('Resol  Asuntos'!D12/NºAsuntos!G12),'Resol  Asuntos'!D12/NºAsuntos!G12," - ")</f>
        <v>0.22417153996101363</v>
      </c>
      <c r="E12" s="445">
        <f>IF(ISNUMBER((NºAsuntos!C12+NºAsuntos!E12)/NºAsuntos!G12),(NºAsuntos!C12+NºAsuntos!E12)/NºAsuntos!G12," - ")</f>
        <v>6.192982456140351</v>
      </c>
      <c r="G12" s="463"/>
    </row>
    <row r="13" spans="1:7" ht="14.25" thickTop="1" thickBot="1">
      <c r="A13" s="848" t="str">
        <f>Datos!A13</f>
        <v>TOTAL</v>
      </c>
      <c r="B13" s="858">
        <f>IF(ISNUMBER(NºAsuntos!G13/NºAsuntos!E13),NºAsuntos!G13/NºAsuntos!E13," - ")</f>
        <v>0.68393094289508627</v>
      </c>
      <c r="C13" s="859">
        <f>IF(ISNUMBER(NºAsuntos!I13/NºAsuntos!G13),NºAsuntos!I13/NºAsuntos!G13," - ")</f>
        <v>5.2291262135922327</v>
      </c>
      <c r="D13" s="860">
        <f>IF(ISNUMBER('Resol  Asuntos'!D13/NºAsuntos!G13),'Resol  Asuntos'!D13/NºAsuntos!G13," - ")</f>
        <v>0.22718446601941747</v>
      </c>
      <c r="E13" s="861">
        <f>IF(ISNUMBER((NºAsuntos!C13+NºAsuntos!E13)/NºAsuntos!G13),(NºAsuntos!C13+NºAsuntos!E13)/NºAsuntos!G13," - ")</f>
        <v>6.2271844660194171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0.97044334975369462</v>
      </c>
      <c r="C16" s="443">
        <f>IF(ISNUMBER(NºAsuntos!I16/NºAsuntos!G16),NºAsuntos!I16/NºAsuntos!G16," - ")</f>
        <v>2.1370558375634516</v>
      </c>
      <c r="D16" s="444">
        <f>IF(ISNUMBER('Resol  Asuntos'!D16/NºAsuntos!G16),'Resol  Asuntos'!D16/NºAsuntos!G16," - ")</f>
        <v>0.17766497461928935</v>
      </c>
      <c r="E16" s="445">
        <f>IF(ISNUMBER((NºAsuntos!C16+NºAsuntos!E16)/NºAsuntos!G16),(NºAsuntos!C16+NºAsuntos!E16)/NºAsuntos!G16," - ")</f>
        <v>3.1345177664974617</v>
      </c>
      <c r="G16" s="463"/>
    </row>
    <row r="17" spans="1:7" ht="13.5" thickBot="1">
      <c r="A17" s="402" t="str">
        <f>Datos!A17</f>
        <v>Jdos. Violencia contra la mujer</v>
      </c>
      <c r="B17" s="442">
        <f>IF(ISNUMBER(NºAsuntos!G17/NºAsuntos!E17),NºAsuntos!G17/NºAsuntos!E17," - ")</f>
        <v>0.91549295774647887</v>
      </c>
      <c r="C17" s="443">
        <f>IF(ISNUMBER(NºAsuntos!I17/NºAsuntos!G17),NºAsuntos!I17/NºAsuntos!G17," - ")</f>
        <v>1.1230769230769231</v>
      </c>
      <c r="D17" s="444">
        <f>IF(ISNUMBER('Resol  Asuntos'!D17/NºAsuntos!G17),'Resol  Asuntos'!D17/NºAsuntos!G17," - ")</f>
        <v>0.1076923076923077</v>
      </c>
      <c r="E17" s="445">
        <f>IF(ISNUMBER((NºAsuntos!C17+NºAsuntos!E17)/NºAsuntos!G17),(NºAsuntos!C17+NºAsuntos!E17)/NºAsuntos!G17," - ")</f>
        <v>2.1230769230769231</v>
      </c>
      <c r="G17" s="463"/>
    </row>
    <row r="18" spans="1:7" ht="14.25" thickTop="1" thickBot="1">
      <c r="A18" s="848" t="str">
        <f>Datos!A18</f>
        <v>TOTAL</v>
      </c>
      <c r="B18" s="858">
        <f>IF(ISNUMBER(NºAsuntos!G18/NºAsuntos!E18),NºAsuntos!G18/NºAsuntos!E18," - ")</f>
        <v>0.96226415094339623</v>
      </c>
      <c r="C18" s="859">
        <f>IF(ISNUMBER(NºAsuntos!I18/NºAsuntos!G18),NºAsuntos!I18/NºAsuntos!G18," - ")</f>
        <v>1.9934640522875817</v>
      </c>
      <c r="D18" s="862">
        <f>IF(ISNUMBER('Resol  Asuntos'!D18/NºAsuntos!G18),'Resol  Asuntos'!D18/NºAsuntos!G18," - ")</f>
        <v>0.16775599128540306</v>
      </c>
      <c r="E18" s="861">
        <f>IF(ISNUMBER((NºAsuntos!C18+NºAsuntos!E18)/NºAsuntos!G18),(NºAsuntos!C18+NºAsuntos!E18)/NºAsuntos!G18," - ")</f>
        <v>2.9912854030501088</v>
      </c>
      <c r="G18" s="463"/>
    </row>
    <row r="19" spans="1:7" ht="15.75" customHeight="1" thickTop="1" thickBot="1">
      <c r="A19" s="793" t="str">
        <f>Datos!A19</f>
        <v>TOTAL JURISDICCIONES</v>
      </c>
      <c r="B19" s="808">
        <f>IF(ISNUMBER(NºAsuntos!G19/NºAsuntos!E19),NºAsuntos!G19/NºAsuntos!E19," - ")</f>
        <v>0.79186991869918699</v>
      </c>
      <c r="C19" s="809">
        <f>IF(ISNUMBER(NºAsuntos!I19/NºAsuntos!G19),NºAsuntos!I19/NºAsuntos!G19," - ")</f>
        <v>3.7043121149897331</v>
      </c>
      <c r="D19" s="810">
        <f>IF(ISNUMBER('Resol  Asuntos'!D19/NºAsuntos!G19),'Resol  Asuntos'!D19/NºAsuntos!G19," - ")</f>
        <v>0.19917864476386038</v>
      </c>
      <c r="E19" s="811">
        <f>IF(ISNUMBER((NºAsuntos!C19+NºAsuntos!E19)/NºAsuntos!G19),(NºAsuntos!C19+NºAsuntos!E19)/NºAsuntos!G19," - ")</f>
        <v>4.7022587268993838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oVDcy/mQ+SkpiMMaVDlcaqZLRrgY8rcPz2F822Ao8MboOAGCNTmmqLW9/tR6obSVahjEdbB9akRsPJJUBXb/A==" saltValue="oC86Xic8j97FczmCbs5J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CARBALLO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28</v>
      </c>
      <c r="AB10" s="334">
        <f>IF(ISNUMBER(Datos!R10),Datos!R10," - ")</f>
        <v>8</v>
      </c>
      <c r="AC10" s="334">
        <f t="shared" ref="AC10:AC12" si="1">IF(ISNUMBER(AA10+AB10),AA10+AB10," - ")</f>
        <v>36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0.16666666666666666</v>
      </c>
      <c r="AM10" s="260">
        <f>IF(ISNUMBER(((NºAsuntos!I10/NºAsuntos!G10)*11)/factor_trimestre),((NºAsuntos!I10/NºAsuntos!G10)*11)/factor_trimestre," - ")</f>
        <v>42</v>
      </c>
      <c r="AN10" s="244">
        <f>IF(ISNUMBER('Resol  Asuntos'!D10/NºAsuntos!G10),'Resol  Asuntos'!D10/NºAsuntos!G10," - ")</f>
        <v>1</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v>
      </c>
      <c r="Y12" s="334">
        <f t="shared" si="0"/>
        <v>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115</v>
      </c>
      <c r="AJ12" s="229" t="str">
        <f>IF(ISNUMBER(Datos!BW12),Datos!BW12," - ")</f>
        <v xml:space="preserve"> - </v>
      </c>
      <c r="AK12" s="228" t="str">
        <f>IF(ISNUMBER(Datos!BX12),Datos!BX12," - ")</f>
        <v xml:space="preserve"> - </v>
      </c>
      <c r="AL12" s="243">
        <f>IF(ISNUMBER(NºAsuntos!G12/NºAsuntos!E12),NºAsuntos!G12/NºAsuntos!E12," - ")</f>
        <v>0.69230769230769229</v>
      </c>
      <c r="AM12" s="260">
        <f>IF(ISNUMBER(((NºAsuntos!I12/NºAsuntos!G12)*11)/factor_trimestre),((NºAsuntos!I12/NºAsuntos!G12)*11)/factor_trimestre," - ")</f>
        <v>15.584795321637429</v>
      </c>
      <c r="AN12" s="244">
        <f>IF(ISNUMBER('Resol  Asuntos'!D12/NºAsuntos!G12),'Resol  Asuntos'!D12/NºAsuntos!G12," - ")</f>
        <v>0.22417153996101363</v>
      </c>
      <c r="AO12" s="245">
        <f>IF(ISNUMBER((NºAsuntos!C12+NºAsuntos!E12)/NºAsuntos!G12),(NºAsuntos!C12+NºAsuntos!E12)/NºAsuntos!G12," - ")</f>
        <v>6.192982456140351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18</v>
      </c>
      <c r="G13" s="866">
        <f t="shared" si="3"/>
        <v>18</v>
      </c>
      <c r="H13" s="865">
        <f t="shared" si="3"/>
        <v>0</v>
      </c>
      <c r="I13" s="867">
        <f t="shared" si="3"/>
        <v>0</v>
      </c>
      <c r="J13" s="867">
        <f t="shared" si="3"/>
        <v>0</v>
      </c>
      <c r="K13" s="867">
        <f t="shared" si="3"/>
        <v>0</v>
      </c>
      <c r="L13" s="867">
        <f t="shared" si="3"/>
        <v>163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40</v>
      </c>
      <c r="Y13" s="868">
        <f t="shared" si="4"/>
        <v>42</v>
      </c>
      <c r="Z13" s="868">
        <f t="shared" si="4"/>
        <v>0</v>
      </c>
      <c r="AA13" s="868">
        <f t="shared" si="4"/>
        <v>28</v>
      </c>
      <c r="AB13" s="868">
        <f t="shared" si="4"/>
        <v>2587</v>
      </c>
      <c r="AC13" s="868">
        <f t="shared" si="4"/>
        <v>36</v>
      </c>
      <c r="AD13" s="868">
        <f t="shared" si="4"/>
        <v>0</v>
      </c>
      <c r="AE13" s="872">
        <f t="shared" si="4"/>
        <v>0</v>
      </c>
      <c r="AF13" s="865">
        <f t="shared" si="4"/>
        <v>0</v>
      </c>
      <c r="AG13" s="873">
        <f t="shared" si="4"/>
        <v>0</v>
      </c>
      <c r="AH13" s="870">
        <f t="shared" si="4"/>
        <v>0</v>
      </c>
      <c r="AI13" s="865">
        <f t="shared" si="4"/>
        <v>117</v>
      </c>
      <c r="AJ13" s="867">
        <f t="shared" si="4"/>
        <v>0</v>
      </c>
      <c r="AK13" s="870">
        <f>SUBTOTAL(9,AK9:AK12)</f>
        <v>0</v>
      </c>
      <c r="AL13" s="874">
        <f>IF(ISNUMBER(NºAsuntos!G13/NºAsuntos!E13),NºAsuntos!G13/NºAsuntos!E13," - ")</f>
        <v>0.68393094289508627</v>
      </c>
      <c r="AM13" s="874">
        <f>IF(ISNUMBER(((NºAsuntos!I13/NºAsuntos!G13)*11)/factor_trimestre),((NºAsuntos!I13/NºAsuntos!G13)*11)/factor_trimestre," - ")</f>
        <v>15.6873786407767</v>
      </c>
      <c r="AN13" s="875">
        <f>IF(ISNUMBER('Resol  Asuntos'!D13/NºAsuntos!G13),'Resol  Asuntos'!D13/NºAsuntos!G13," - ")</f>
        <v>0.22718446601941747</v>
      </c>
      <c r="AO13" s="876">
        <f>IF(ISNUMBER((NºAsuntos!C13+NºAsuntos!E13)/NºAsuntos!G13),(NºAsuntos!C13+NºAsuntos!E13)/NºAsuntos!G13," - ")</f>
        <v>6.2271844660194171</v>
      </c>
      <c r="AP13" s="877" t="str">
        <f t="shared" si="2"/>
        <v xml:space="preserve"> - </v>
      </c>
      <c r="AQ13" s="877">
        <f>IF(ISNUMBER((H13-W13+K13)/(F13)),(H13-W13+K13)/(F13)," - ")</f>
        <v>-0.1111111111111111</v>
      </c>
      <c r="AR13" s="878">
        <f>IF(ISNUMBER((Datos!P13-Datos!Q13)/(Datos!R13-Datos!P13+Datos!Q13)),(Datos!P13-Datos!Q13)/(Datos!R13-Datos!P13+Datos!Q13)," - ")</f>
        <v>4.9918831168831168E-2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830</v>
      </c>
      <c r="G16" s="333">
        <f>IF(ISNUMBER(IF(D_I="SI",Datos!I16,Datos!I16+Datos!AC16)),IF(D_I="SI",Datos!I16,Datos!I16+Datos!AC16)," - ")</f>
        <v>829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394</v>
      </c>
      <c r="X16" s="226">
        <f>IF(ISNUMBER(Datos!Q16),Datos!Q16," - ")</f>
        <v>10</v>
      </c>
      <c r="Y16" s="334">
        <f t="shared" ref="Y16:Y17" si="7">SUM(W16:X16)</f>
        <v>404</v>
      </c>
      <c r="Z16" s="335" t="str">
        <f>IF(ISNUMBER(Datos!CC16),Datos!CC16," - ")</f>
        <v xml:space="preserve"> - </v>
      </c>
      <c r="AA16" s="332">
        <f>IF(ISNUMBER(IF(D_I="SI",Datos!L16,Datos!L16+Datos!AF16)),IF(D_I="SI",Datos!L16,Datos!L16+Datos!AF16)," - ")</f>
        <v>842</v>
      </c>
      <c r="AB16" s="334">
        <f>IF(ISNUMBER(Datos!R16),Datos!R16," - ")</f>
        <v>111</v>
      </c>
      <c r="AC16" s="334">
        <f t="shared" si="6"/>
        <v>953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70</v>
      </c>
      <c r="AJ16" s="231" t="str">
        <f>IF(ISNUMBER(Datos!BW16),Datos!BW16," - ")</f>
        <v xml:space="preserve"> - </v>
      </c>
      <c r="AK16" s="232" t="str">
        <f>IF(ISNUMBER(Datos!BX16),Datos!BX16," - ")</f>
        <v xml:space="preserve"> - </v>
      </c>
      <c r="AL16" s="243">
        <f>IF(ISNUMBER(NºAsuntos!G16/NºAsuntos!E16),NºAsuntos!G16/NºAsuntos!E16," - ")</f>
        <v>0.97044334975369462</v>
      </c>
      <c r="AM16" s="260">
        <f>IF(ISNUMBER(((NºAsuntos!I16/NºAsuntos!G16)*11)/factor_trimestre),((NºAsuntos!I16/NºAsuntos!G16)*11)/factor_trimestre," - ")</f>
        <v>6.4111675126903549</v>
      </c>
      <c r="AN16" s="244">
        <f>IF(ISNUMBER('Resol  Asuntos'!D16/NºAsuntos!G16),'Resol  Asuntos'!D16/NºAsuntos!G16," - ")</f>
        <v>0.17766497461928935</v>
      </c>
      <c r="AO16" s="245">
        <f>IF(ISNUMBER((NºAsuntos!C16+NºAsuntos!E16)/NºAsuntos!G16),(NºAsuntos!C16+NºAsuntos!E16)/NºAsuntos!G16," - ")</f>
        <v>3.1345177664974617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65</v>
      </c>
      <c r="X17" s="226">
        <f>IF(ISNUMBER(Datos!Q17),Datos!Q17," - ")</f>
        <v>1</v>
      </c>
      <c r="Y17" s="334">
        <f t="shared" si="7"/>
        <v>66</v>
      </c>
      <c r="Z17" s="335" t="str">
        <f>IF(ISNUMBER(Datos!CC17),Datos!CC17," - ")</f>
        <v xml:space="preserve"> - </v>
      </c>
      <c r="AA17" s="332">
        <f>IF(ISNUMBER(Datos!L17),Datos!L17,"-")</f>
        <v>73</v>
      </c>
      <c r="AB17" s="334">
        <f>IF(ISNUMBER(Datos!R17),Datos!R17," - ")</f>
        <v>0</v>
      </c>
      <c r="AC17" s="334">
        <f t="shared" si="6"/>
        <v>73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0.91549295774647887</v>
      </c>
      <c r="AM17" s="260">
        <f>IF(ISNUMBER(((NºAsuntos!I17/NºAsuntos!G17)*11)/factor_trimestre),((NºAsuntos!I17/NºAsuntos!G17)*11)/factor_trimestre," - ")</f>
        <v>3.3692307692307697</v>
      </c>
      <c r="AN17" s="244">
        <f>IF(ISNUMBER('Resol  Asuntos'!D17/NºAsuntos!G17),'Resol  Asuntos'!D17/NºAsuntos!G17," - ")</f>
        <v>0.1076923076923077</v>
      </c>
      <c r="AO17" s="245">
        <f>IF(ISNUMBER((NºAsuntos!C17+NºAsuntos!E17)/NºAsuntos!G17),(NºAsuntos!C17+NºAsuntos!E17)/NºAsuntos!G17," - ")</f>
        <v>2.1230769230769231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830</v>
      </c>
      <c r="G18" s="866">
        <f>SUBTOTAL(9,G15:G17)</f>
        <v>896</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459</v>
      </c>
      <c r="X18" s="867">
        <f t="shared" si="11"/>
        <v>11</v>
      </c>
      <c r="Y18" s="868">
        <f t="shared" si="11"/>
        <v>470</v>
      </c>
      <c r="Z18" s="868">
        <f t="shared" si="11"/>
        <v>0</v>
      </c>
      <c r="AA18" s="868">
        <f t="shared" si="11"/>
        <v>915</v>
      </c>
      <c r="AB18" s="868">
        <f t="shared" si="11"/>
        <v>111</v>
      </c>
      <c r="AC18" s="868">
        <f t="shared" si="11"/>
        <v>1026</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0.96226415094339623</v>
      </c>
      <c r="AM18" s="874">
        <f>IF(ISNUMBER(((NºAsuntos!I18/NºAsuntos!G18)*11)/factor_trimestre),((NºAsuntos!I18/NºAsuntos!G18)*11)/factor_trimestre," - ")</f>
        <v>5.9803921568627452</v>
      </c>
      <c r="AN18" s="875">
        <f>IF(ISNUMBER('Resol  Asuntos'!D18/NºAsuntos!G18),'Resol  Asuntos'!D18/NºAsuntos!G18," - ")</f>
        <v>0.16775599128540306</v>
      </c>
      <c r="AO18" s="876">
        <f>IF(ISNUMBER((NºAsuntos!C18+NºAsuntos!E18)/NºAsuntos!G18),(NºAsuntos!C18+NºAsuntos!E18)/NºAsuntos!G18," - ")</f>
        <v>2.9912854030501088</v>
      </c>
      <c r="AP18" s="877" t="str">
        <f t="shared" si="2"/>
        <v xml:space="preserve"> - </v>
      </c>
      <c r="AQ18" s="877">
        <f>IF(ISNUMBER((H18-W18+K18)/(F18)),(H18-W18+K18)/(F18)," - ")</f>
        <v>-0.55301204819277106</v>
      </c>
      <c r="AR18" s="878">
        <f>IF(ISNUMBER((Datos!P18-Datos!Q18)/(Datos!R18-Datos!P18+Datos!Q18)),(Datos!P18-Datos!Q18)/(Datos!R18-Datos!P18+Datos!Q18)," - ")</f>
        <v>3.7383177570093455E-2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848</v>
      </c>
      <c r="G19" s="821">
        <f t="shared" si="13"/>
        <v>914</v>
      </c>
      <c r="H19" s="820">
        <f t="shared" si="13"/>
        <v>0</v>
      </c>
      <c r="I19" s="822">
        <f t="shared" si="13"/>
        <v>0</v>
      </c>
      <c r="J19" s="822">
        <f t="shared" si="13"/>
        <v>0</v>
      </c>
      <c r="K19" s="881">
        <f t="shared" si="13"/>
        <v>0</v>
      </c>
      <c r="L19" s="822">
        <f t="shared" si="13"/>
        <v>178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461</v>
      </c>
      <c r="X19" s="821">
        <f t="shared" si="14"/>
        <v>51</v>
      </c>
      <c r="Y19" s="828">
        <f t="shared" si="14"/>
        <v>512</v>
      </c>
      <c r="Z19" s="828">
        <f t="shared" si="14"/>
        <v>0</v>
      </c>
      <c r="AA19" s="828">
        <f t="shared" si="14"/>
        <v>943</v>
      </c>
      <c r="AB19" s="828">
        <f t="shared" si="14"/>
        <v>2698</v>
      </c>
      <c r="AC19" s="828">
        <f t="shared" si="14"/>
        <v>1062</v>
      </c>
      <c r="AD19" s="828">
        <f t="shared" si="14"/>
        <v>0</v>
      </c>
      <c r="AE19" s="830">
        <f t="shared" si="14"/>
        <v>0</v>
      </c>
      <c r="AF19" s="831">
        <f t="shared" si="14"/>
        <v>0</v>
      </c>
      <c r="AG19" s="832">
        <f t="shared" si="14"/>
        <v>0</v>
      </c>
      <c r="AH19" s="830">
        <f t="shared" si="14"/>
        <v>0</v>
      </c>
      <c r="AI19" s="820">
        <f t="shared" si="14"/>
        <v>194</v>
      </c>
      <c r="AJ19" s="820">
        <f t="shared" si="14"/>
        <v>0</v>
      </c>
      <c r="AK19" s="830">
        <f t="shared" si="14"/>
        <v>0</v>
      </c>
      <c r="AL19" s="884">
        <f>IF(ISNUMBER(NºAsuntos!G19/NºAsuntos!E19),NºAsuntos!G19/NºAsuntos!E19," - ")</f>
        <v>0.79186991869918699</v>
      </c>
      <c r="AM19" s="885">
        <f>IF(ISNUMBER(((NºAsuntos!I19/NºAsuntos!G19)*11)/factor_trimestre),((NºAsuntos!I19/NºAsuntos!G19)*11)/factor_trimestre," - ")</f>
        <v>11.112936344969199</v>
      </c>
      <c r="AN19" s="885">
        <f>IF(ISNUMBER('Resol  Asuntos'!D19/NºAsuntos!G19),'Resol  Asuntos'!D19/NºAsuntos!G19," - ")</f>
        <v>0.19917864476386038</v>
      </c>
      <c r="AO19" s="886">
        <f>IF(ISNUMBER((NºAsuntos!C19+NºAsuntos!E19)/NºAsuntos!G19),(NºAsuntos!C19+NºAsuntos!E19)/NºAsuntos!G19," - ")</f>
        <v>4.7022587268993838</v>
      </c>
      <c r="AP19" s="887" t="str">
        <f t="shared" si="2"/>
        <v xml:space="preserve"> - </v>
      </c>
      <c r="AQ19" s="888">
        <f>IF(OR(ISNUMBER(FIND("01",Criterios!A8,1)),ISNUMBER(FIND("02",Criterios!A8,1)),ISNUMBER(FIND("03",Criterios!A8,1)),ISNUMBER(FIND("04",Criterios!A8,1))),(I19-W19+K19)/(F19-K19),(H19-W19+K19)/(F19-K19))</f>
        <v>-0.54363207547169812</v>
      </c>
      <c r="AR19" s="889">
        <f>IF(ISNUMBER((Datos!P19-Datos!Q19)/(Datos!R19-Datos!P19+Datos!Q19)),(Datos!P19-Datos!Q19)/(Datos!R19-Datos!P19+Datos!Q19)," - ")</f>
        <v>4.9397121742512644E-2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468.80841858197613</v>
      </c>
      <c r="G21" s="253">
        <f>IF(ISNUMBER(STDEV(G8:G18)),STDEV(G8:G18),"-")</f>
        <v>454.66394182956714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223.68124641998935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50.408993906511036</v>
      </c>
      <c r="AJ21" s="252">
        <f t="shared" si="18"/>
        <v>0</v>
      </c>
      <c r="AK21" s="254">
        <f t="shared" si="18"/>
        <v>0</v>
      </c>
      <c r="AL21" s="249">
        <f t="shared" si="18"/>
        <v>0.30562533724651603</v>
      </c>
      <c r="AM21" s="250">
        <f t="shared" si="18"/>
        <v>14.283240370174438</v>
      </c>
      <c r="AN21" s="250">
        <f t="shared" si="18"/>
        <v>0.33724462053768611</v>
      </c>
      <c r="AO21" s="251">
        <f t="shared" si="18"/>
        <v>4.7616065467662949</v>
      </c>
      <c r="AP21" s="291" t="str">
        <f t="shared" si="18"/>
        <v>-</v>
      </c>
      <c r="AQ21" s="292">
        <f t="shared" si="18"/>
        <v>0.31247114922313168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18itGKKmau53IWIGBriccYsdk0Cw2bbDae+Pdf6cN2fYf2szML4wEMg+1TyAHU/hTWdi1aOSClSNpxZJqq03A==" saltValue="jvQSIp2H+HciYJbcrWQm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CARBALLO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-5.2631578947368418E-2</v>
      </c>
      <c r="E10" s="348">
        <f>IF(ISNUMBER((Datos!J10-Datos!T10)/Datos!T10),(Datos!J10-Datos!T10)/Datos!T10," - ")</f>
        <v>0.5</v>
      </c>
      <c r="F10" s="348">
        <f>IF(ISNUMBER((Datos!K10-Datos!U10)/Datos!U10),(Datos!K10-Datos!U10)/Datos!U10," - ")</f>
        <v>-0.81818181818181823</v>
      </c>
      <c r="G10" s="349">
        <f>IF(ISNUMBER((Datos!L10-Datos!V10)/Datos!V10),(Datos!L10-Datos!V10)/Datos!V10," - ")</f>
        <v>0.75</v>
      </c>
      <c r="H10" s="230">
        <f>IF(ISNUMBER((Datos!M10-Datos!W10)/Datos!W10),(Datos!M10-Datos!W10)/Datos!W10," - ")</f>
        <v>-0.66666666666666663</v>
      </c>
      <c r="I10" s="350">
        <f>IF(ISNUMBER((Tasas!C10-Datos!BE10)/Datos!BE10),(Tasas!C10-Datos!BE10)/Datos!BE10," - ")</f>
        <v>8.625</v>
      </c>
      <c r="J10" s="349">
        <f>IF(ISNUMBER((Tasas!D10-Datos!BF10)/Datos!BF10),(Tasas!D10-Datos!BF10)/Datos!BF10," - ")</f>
        <v>0.83333333333333348</v>
      </c>
      <c r="K10" s="351">
        <f>IF(ISNUMBER((Tasas!E10-Datos!BG10)/Datos!BG10),(Tasas!E10-Datos!BG10)/Datos!BG10," - ")</f>
        <v>5.1111111111111107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8.771929824561403E-3</v>
      </c>
      <c r="I12" s="350">
        <f>IF(ISNUMBER((Tasas!C12-Datos!BE12)/Datos!BE12),(Tasas!C12-Datos!BE12)/Datos!BE12," - ")</f>
        <v>0.32776195969894512</v>
      </c>
      <c r="J12" s="349">
        <f>IF(ISNUMBER((Tasas!D12-Datos!BF12)/Datos!BF12),(Tasas!D12-Datos!BF12)/Datos!BF12," - ")</f>
        <v>3.433535104818574E-2</v>
      </c>
      <c r="K12" s="351">
        <f>IF(ISNUMBER((Tasas!E12-Datos!BG12)/Datos!BG12),(Tasas!E12-Datos!BG12)/Datos!BG12," - ")</f>
        <v>0.26064580957036565</v>
      </c>
      <c r="M12" t="e">
        <f>IF(Monitorios="SI",Datos!CE12,0)</f>
        <v>#REF!</v>
      </c>
      <c r="N12" t="e">
        <f>IF(Monitorios="SI",Datos!CF12,0)</f>
        <v>#REF!</v>
      </c>
      <c r="O12" t="e">
        <f>IF(Monitorios="SI",Datos!CG12,0)</f>
        <v>#REF!</v>
      </c>
      <c r="P12" t="e">
        <f>IF(Monitorios="SI",Datos!CH12,0)</f>
        <v>#REF!</v>
      </c>
      <c r="Q12">
        <f>IF(J_V="SI",0,Datos!AG12)</f>
        <v>45</v>
      </c>
      <c r="R12">
        <f>IF(J_V="SI",0,Datos!AH12)</f>
        <v>44</v>
      </c>
      <c r="S12">
        <f>IF(J_V="SI",0,Datos!AI12)</f>
        <v>39</v>
      </c>
      <c r="T12">
        <f>IF(J_V="SI",0,Datos!AJ12)</f>
        <v>50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-2.5000000000000001E-2</v>
      </c>
      <c r="I13" s="357">
        <f>IF(ISNUMBER((Tasas!C13-Datos!BE13)/Datos!BE13),(Tasas!C13-Datos!BE13)/Datos!BE13," - ")</f>
        <v>0.35392515752122911</v>
      </c>
      <c r="J13" s="355">
        <f>IF(ISNUMBER((Tasas!D13-Datos!BF13)/Datos!BF13),(Tasas!D13-Datos!BF13)/Datos!BF13," - ")</f>
        <v>1.6650485436893236E-2</v>
      </c>
      <c r="K13" s="358">
        <f>IF(ISNUMBER((Tasas!E13-Datos!BG13)/Datos!BG13),(Tasas!E13-Datos!BG13)/Datos!BG13," - ")</f>
        <v>0.28073460676079159</v>
      </c>
      <c r="M13" t="e">
        <f>IF(Monitorios="SI",Datos!CE13,0)</f>
        <v>#REF!</v>
      </c>
      <c r="N13" t="e">
        <f>IF(Monitorios="SI",Datos!CF13,0)</f>
        <v>#REF!</v>
      </c>
      <c r="O13" t="e">
        <f>IF(Monitorios="SI",Datos!CG13,0)</f>
        <v>#REF!</v>
      </c>
      <c r="P13" t="e">
        <f>IF(Monitorios="SI",Datos!CH13,0)</f>
        <v>#REF!</v>
      </c>
      <c r="Q13">
        <f>IF(J_V="SI",0,Datos!AG13)</f>
        <v>45</v>
      </c>
      <c r="R13">
        <f>IF(J_V="SI",0,Datos!AH13)</f>
        <v>44</v>
      </c>
      <c r="S13">
        <f>IF(J_V="SI",0,Datos!AI13)</f>
        <v>39</v>
      </c>
      <c r="T13">
        <f>IF(J_V="SI",0,Datos!AJ13)</f>
        <v>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5.4707379134860054E-2</v>
      </c>
      <c r="E16" s="348">
        <f>IF(ISNUMBER(
   IF(D_I="SI",(Datos!J16-Datos!T16)/Datos!T16,(Datos!J16+Datos!AD16-(Datos!T16+Datos!AL16))/(Datos!T16+Datos!AL16))
     ),IF(D_I="SI",(Datos!J16-Datos!T16)/Datos!T16,(Datos!J16+Datos!AD16-(Datos!T16+Datos!AL16))/(Datos!T16+Datos!AL16))," - ")</f>
        <v>-0.10176991150442478</v>
      </c>
      <c r="F16" s="348">
        <f>IF(ISNUMBER(
   IF(D_I="SI",(Datos!K16-Datos!U16)/Datos!U16,(Datos!K16+Datos!AE16-(Datos!U16+Datos!AM16))/(Datos!U16+Datos!AM16))
     ),IF(D_I="SI",(Datos!K16-Datos!U16)/Datos!U16,(Datos!K16+Datos!AE16-(Datos!U16+Datos!AM16))/(Datos!U16+Datos!AM16))," - ")</f>
        <v>-0.17226890756302521</v>
      </c>
      <c r="G16" s="349">
        <f>IF(ISNUMBER(
   IF(D_I="SI",(Datos!L16-Datos!V16)/Datos!V16,(Datos!L16+Datos!AF16-(Datos!V16+Datos!AN16))/(Datos!V16+Datos!AN16))
     ),IF(D_I="SI",(Datos!L16-Datos!V16)/Datos!V16,(Datos!L16+Datos!AF16-(Datos!V16+Datos!AN16))/(Datos!V16+Datos!AN16))," - ")</f>
        <v>0.10498687664041995</v>
      </c>
      <c r="H16" s="230">
        <f>IF(ISNUMBER((Datos!M16-Datos!W16)/Datos!W16),(Datos!M16-Datos!W16)/Datos!W16," - ")</f>
        <v>-1.4084507042253521E-2</v>
      </c>
      <c r="I16" s="350">
        <f>IF(ISNUMBER((Tasas!C16-Datos!BE16)/Datos!BE16),(Tasas!C16-Datos!BE16)/Datos!BE16," - ")</f>
        <v>0.33495876467218233</v>
      </c>
      <c r="J16" s="349">
        <f>IF(ISNUMBER((Tasas!D16-Datos!BF16)/Datos!BF16),(Tasas!D16-Datos!BF16)/Datos!BF16," - ")</f>
        <v>0.1911060270250948</v>
      </c>
      <c r="K16" s="351">
        <f>IF(ISNUMBER((Tasas!E16-Datos!BG16)/Datos!BG16),(Tasas!E16-Datos!BG16)/Datos!BG16," - ")</f>
        <v>0.20519423009110802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-0.41228070175438597</v>
      </c>
      <c r="E17" s="348">
        <f>IF(ISNUMBER(
   IF(D_I="SI",(Datos!J17-Datos!T17)/Datos!T17,(Datos!J17+Datos!AD17-(Datos!T17+Datos!AL17))/(Datos!T17+Datos!AL17))
     ),IF(D_I="SI",(Datos!J17-Datos!T17)/Datos!T17,(Datos!J17+Datos!AD17-(Datos!T17+Datos!AL17))/(Datos!T17+Datos!AL17))," - ")</f>
        <v>-7.792207792207792E-2</v>
      </c>
      <c r="F17" s="348">
        <f>IF(ISNUMBER(
   IF(D_I="SI",(Datos!K17-Datos!U17)/Datos!U17,(Datos!K17+Datos!AE17-(Datos!U17+Datos!AM17))/(Datos!U17+Datos!AM17))
     ),IF(D_I="SI",(Datos!K17-Datos!U17)/Datos!U17,(Datos!K17+Datos!AE17-(Datos!U17+Datos!AM17))/(Datos!U17+Datos!AM17))," - ")</f>
        <v>-0.21686746987951808</v>
      </c>
      <c r="G17" s="349">
        <f>IF(ISNUMBER(
   IF(D_I="SI",(Datos!L17-Datos!V17)/Datos!V17,(Datos!L17+Datos!AF17-(Datos!V17+Datos!AN17))/(Datos!V17+Datos!AN17))
     ),IF(D_I="SI",(Datos!L17-Datos!V17)/Datos!V17,(Datos!L17+Datos!AF17-(Datos!V17+Datos!AN17))/(Datos!V17+Datos!AN17))," - ")</f>
        <v>-0.32407407407407407</v>
      </c>
      <c r="H17" s="230">
        <f>IF(ISNUMBER((Datos!M17-Datos!W17)/Datos!W17),(Datos!M17-Datos!W17)/Datos!W17," - ")</f>
        <v>-0.22222222222222221</v>
      </c>
      <c r="I17" s="350">
        <f>IF(ISNUMBER((Tasas!C17-Datos!BE17)/Datos!BE17),(Tasas!C17-Datos!BE17)/Datos!BE17," - ")</f>
        <v>-0.13689458689458686</v>
      </c>
      <c r="J17" s="349">
        <f>IF(ISNUMBER((Tasas!D17-Datos!BF17)/Datos!BF17),(Tasas!D17-Datos!BF17)/Datos!BF17," - ")</f>
        <v>-6.837606837606802E-3</v>
      </c>
      <c r="K17" s="351">
        <f>IF(ISNUMBER((Tasas!E17-Datos!BG17)/Datos!BG17),(Tasas!E17-Datos!BG17)/Datos!BG17," - ")</f>
        <v>-7.7406363270237685E-2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-4.4444444444444444E-3</v>
      </c>
      <c r="E18" s="354">
        <f>IF(ISNUMBER(
   IF(D_I="SI",(Datos!J18-Datos!T18)/Datos!T18,(Datos!J18+Datos!AD18-(Datos!T18+Datos!AL18))/(Datos!T18+Datos!AL18))
     ),IF(D_I="SI",(Datos!J18-Datos!T18)/Datos!T18,(Datos!J18+Datos!AD18-(Datos!T18+Datos!AL18))/(Datos!T18+Datos!AL18))," - ")</f>
        <v>-9.8298676748582225E-2</v>
      </c>
      <c r="F18" s="354">
        <f>IF(ISNUMBER(
   IF(D_I="SI",(Datos!K18-Datos!U18)/Datos!U18,(Datos!K18+Datos!AE18-(Datos!U18+Datos!AM18))/(Datos!U18+Datos!AM18))
     ),IF(D_I="SI",(Datos!K18-Datos!U18)/Datos!U18,(Datos!K18+Datos!AE18-(Datos!U18+Datos!AM18))/(Datos!U18+Datos!AM18))," - ")</f>
        <v>-0.17889087656529518</v>
      </c>
      <c r="G18" s="355">
        <f>IF(ISNUMBER(
   IF(D_I="SI",(Datos!L18-Datos!V18)/Datos!V18,(Datos!L18+Datos!AF18-(Datos!V18+Datos!AN18))/(Datos!V18+Datos!AN18))
     ),IF(D_I="SI",(Datos!L18-Datos!V18)/Datos!V18,(Datos!L18+Datos!AF18-(Datos!V18+Datos!AN18))/(Datos!V18+Datos!AN18))," - ")</f>
        <v>5.1724137931034482E-2</v>
      </c>
      <c r="H18" s="356">
        <f>IF(ISNUMBER((Datos!M18-Datos!W18)/Datos!W18),(Datos!M18-Datos!W18)/Datos!W18," - ")</f>
        <v>-3.7499999999999999E-2</v>
      </c>
      <c r="I18" s="357">
        <f>IF(ISNUMBER((Tasas!C18-Datos!BE18)/Datos!BE18),(Tasas!C18-Datos!BE18)/Datos!BE18," - ")</f>
        <v>0.28085793704454964</v>
      </c>
      <c r="J18" s="355">
        <f>IF(ISNUMBER((Tasas!D18-Datos!BF18)/Datos!BF18),(Tasas!D18-Datos!BF18)/Datos!BF18," - ")</f>
        <v>0.1721949891067539</v>
      </c>
      <c r="K18" s="358">
        <f>IF(ISNUMBER((Tasas!E18-Datos!BG18)/Datos!BG18),(Tasas!E18-Datos!BG18)/Datos!BG18," - ")</f>
        <v>0.17013893653254772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0.18165784832451498</v>
      </c>
      <c r="E19" s="363">
        <f>IF(ISNUMBER(
   IF(J_V="SI",(Datos!J19-Datos!T19)/Datos!T19,(Datos!J19+Datos!Z19-(Datos!T19+Datos!AH19))/(Datos!T19+Datos!AH19))
     ),IF(J_V="SI",(Datos!J19-Datos!T19)/Datos!T19,(Datos!J19+Datos!Z19-(Datos!T19+Datos!AH19))/(Datos!T19+Datos!AH19))," - ")</f>
        <v>2.0746887966804978E-2</v>
      </c>
      <c r="F19" s="363">
        <f>IF(ISNUMBER(
   IF(J_V="SI",(Datos!K19-Datos!U19)/Datos!U19,(Datos!K19+Datos!AA19-(Datos!U19+Datos!AI19))/(Datos!U19+Datos!AI19))
     ),IF(J_V="SI",(Datos!K19-Datos!U19)/Datos!U19,(Datos!K19+Datos!AA19-(Datos!U19+Datos!AI19))/(Datos!U19+Datos!AI19))," - ")</f>
        <v>-0.11131386861313869</v>
      </c>
      <c r="G19" s="364">
        <f>IF(ISNUMBER(
   IF(J_V="SI",(Datos!L19-Datos!V19)/Datos!V19,(Datos!L19+Datos!AB19-(Datos!V19+Datos!AJ19))/(Datos!V19+Datos!AJ19))
     ),IF(J_V="SI",(Datos!L19-Datos!V19)/Datos!V19,(Datos!L19+Datos!AB19-(Datos!V19+Datos!AJ19))/(Datos!V19+Datos!AJ19))," - ")</f>
        <v>0.22554347826086957</v>
      </c>
      <c r="H19" s="365">
        <f>IF(ISNUMBER((Datos!M19-Datos!W19)/Datos!W19),(Datos!M19-Datos!W19)/Datos!W19," - ")</f>
        <v>-0.03</v>
      </c>
      <c r="I19" s="362">
        <f>IF(ISNUMBER((Tasas!C19-Datos!BE19)/Datos!BE19),(Tasas!C19-Datos!BE19)/Datos!BE19," - ")</f>
        <v>0.37905097759128659</v>
      </c>
      <c r="J19" s="363">
        <f>IF(ISNUMBER((Tasas!D19-Datos!BF19)/Datos!BF19),(Tasas!D19-Datos!BF19)/Datos!BF19," - ")</f>
        <v>9.1498973305954884E-2</v>
      </c>
      <c r="K19" s="364">
        <f>IF(ISNUMBER((Tasas!E19-Datos!BG19)/Datos!BG19),(Tasas!E19-Datos!BG19)/Datos!BG19," - ")</f>
        <v>0.27566226848557546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0.21037632195892783</v>
      </c>
      <c r="E21" s="278">
        <f t="shared" si="1"/>
        <v>0.2965184417477208</v>
      </c>
      <c r="F21" s="278">
        <f t="shared" si="1"/>
        <v>0.31503312596787875</v>
      </c>
      <c r="G21" s="279">
        <f t="shared" si="1"/>
        <v>0.44585318401552726</v>
      </c>
      <c r="H21" s="285">
        <f t="shared" si="1"/>
        <v>0.26214020982808056</v>
      </c>
      <c r="I21" s="277">
        <f t="shared" si="1"/>
        <v>3.4314266205685593</v>
      </c>
      <c r="J21" s="278">
        <f t="shared" si="1"/>
        <v>0.3179716167760302</v>
      </c>
      <c r="K21" s="279">
        <f t="shared" si="1"/>
        <v>2.0221771553066326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7OiLvejPOXHqz7O40+ZF8qX1qsh3o+OnigLaosHXrhSMAmnbBvD7NgnuMMhkPSEyNPP+/u9Jow6zAEFd44UFw==" saltValue="v7lK95/QyLhnIFCAtphd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